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9440" windowHeight="7680" activeTab="0"/>
  </bookViews>
  <sheets>
    <sheet name="Larval rearing2 - 5000" sheetId="1" r:id="rId1"/>
  </sheets>
  <definedNames>
    <definedName name="airfill_rate">'Larval rearing2 - 5000'!$G$7</definedName>
    <definedName name="boat_hire_rate">'Larval rearing2 - 5000'!$I$7</definedName>
    <definedName name="Capital_equipment_costs_split_over_3_years">'Larval rearing2 - 5000'!$B$18</definedName>
    <definedName name="Diving_equipment_cost_per_year">'Larval rearing2 - 5000'!$B$19</definedName>
    <definedName name="Settled_polyps">'Larval rearing2 - 5000'!$M$13</definedName>
    <definedName name="Survival_rate_from_1_to_2_years_old">'Larval rearing2 - 5000'!$A$34:$A$41</definedName>
    <definedName name="Wage_rate1">'Larval rearing2 - 5000'!$C$4</definedName>
    <definedName name="Wage_rate2">'Larval rearing2 - 5000'!$C$5</definedName>
    <definedName name="Wage_rate3">'Larval rearing2 - 5000'!$C$6</definedName>
  </definedNames>
  <calcPr fullCalcOnLoad="1"/>
</workbook>
</file>

<file path=xl/sharedStrings.xml><?xml version="1.0" encoding="utf-8"?>
<sst xmlns="http://schemas.openxmlformats.org/spreadsheetml/2006/main" count="65" uniqueCount="60">
  <si>
    <t>Item</t>
  </si>
  <si>
    <t>USD</t>
  </si>
  <si>
    <t>Person-hours</t>
  </si>
  <si>
    <t>planulae</t>
  </si>
  <si>
    <t>settled polyps</t>
  </si>
  <si>
    <t>1-year colonies</t>
  </si>
  <si>
    <t>Rate</t>
  </si>
  <si>
    <t>2-year survivors</t>
  </si>
  <si>
    <t>Monthly</t>
  </si>
  <si>
    <t>Hourly</t>
  </si>
  <si>
    <t>Diving gear</t>
  </si>
  <si>
    <t>Daily hire</t>
  </si>
  <si>
    <t>Purchase</t>
  </si>
  <si>
    <t>Persons</t>
  </si>
  <si>
    <t>Cost per 2-year colony</t>
  </si>
  <si>
    <t>Skill level 3 (lowest) salary - e.g. trained manual labour</t>
  </si>
  <si>
    <t>Monthly/160</t>
  </si>
  <si>
    <t>Local wage rates</t>
  </si>
  <si>
    <t>Skill level 1 (highest) salary - e.g. scientific adviser/expert</t>
  </si>
  <si>
    <t>Skill level 2 (medium) salary - e.g. trained educated local</t>
  </si>
  <si>
    <t>Local rates (air fills and boat hire)</t>
  </si>
  <si>
    <t>air per tank</t>
  </si>
  <si>
    <t>boat per day</t>
  </si>
  <si>
    <t>Equipment/ consumables</t>
  </si>
  <si>
    <t>Time input by personnel</t>
  </si>
  <si>
    <t>Boat time</t>
  </si>
  <si>
    <t>Total cost/yr</t>
  </si>
  <si>
    <t>% survival</t>
  </si>
  <si>
    <t># air-tanks</t>
  </si>
  <si>
    <t>days</t>
  </si>
  <si>
    <t>between</t>
  </si>
  <si>
    <t>stages</t>
  </si>
  <si>
    <t>Total</t>
  </si>
  <si>
    <t>What if? Scenarios</t>
  </si>
  <si>
    <t>Survival rate (%) from 1 to 2-years old</t>
  </si>
  <si>
    <t>Annualised total (land-based hatchery costs split over 3 years)</t>
  </si>
  <si>
    <t># plug-ins with 1+ live colonies after one year</t>
  </si>
  <si>
    <t>Cost per 1-year juvenile outplant</t>
  </si>
  <si>
    <t>Actual survival?</t>
  </si>
  <si>
    <t>What were your figures?</t>
  </si>
  <si>
    <t>Per set</t>
  </si>
  <si>
    <t>Boat days with 2 divers</t>
  </si>
  <si>
    <t>Boat days with 4 divers</t>
  </si>
  <si>
    <t>% total</t>
  </si>
  <si>
    <t>cost/yr</t>
  </si>
  <si>
    <t>Capital equipment - costs split over 3 years</t>
  </si>
  <si>
    <t>Diving equipment - costs split over 3 years</t>
  </si>
  <si>
    <t>2 or 4</t>
  </si>
  <si>
    <t>2-yr cycle</t>
  </si>
  <si>
    <t>Cost per 1-year juvenile in nursery</t>
  </si>
  <si>
    <t>Cheaper to buy if scale up</t>
  </si>
  <si>
    <t>Cheaper to hire at this scale</t>
  </si>
  <si>
    <t>1.1. Surveys to predict dates of spawning</t>
  </si>
  <si>
    <t>1.2. Collection of portions of up to 24 gravid colonies</t>
  </si>
  <si>
    <r>
      <t xml:space="preserve">2. Construction of </t>
    </r>
    <r>
      <rPr>
        <i/>
        <sz val="9"/>
        <rFont val="Arial"/>
        <family val="2"/>
      </rPr>
      <t>in situ</t>
    </r>
    <r>
      <rPr>
        <sz val="9"/>
        <rFont val="Arial"/>
        <family val="0"/>
      </rPr>
      <t xml:space="preserve"> nursery</t>
    </r>
    <r>
      <rPr>
        <sz val="9"/>
        <rFont val="Arial"/>
        <family val="0"/>
      </rPr>
      <t xml:space="preserve"> for 1000 plug-ins</t>
    </r>
  </si>
  <si>
    <r>
      <t xml:space="preserve">3. Establishing material in </t>
    </r>
    <r>
      <rPr>
        <i/>
        <sz val="9"/>
        <rFont val="Arial"/>
        <family val="2"/>
      </rPr>
      <t>in-situ</t>
    </r>
    <r>
      <rPr>
        <sz val="9"/>
        <rFont val="Arial"/>
        <family val="0"/>
      </rPr>
      <t xml:space="preserve"> semi-caged culture </t>
    </r>
  </si>
  <si>
    <r>
      <t xml:space="preserve">4. Maintenance of material in </t>
    </r>
    <r>
      <rPr>
        <i/>
        <sz val="9"/>
        <rFont val="Arial"/>
        <family val="2"/>
      </rPr>
      <t>in-situ</t>
    </r>
    <r>
      <rPr>
        <sz val="9"/>
        <rFont val="Arial"/>
        <family val="0"/>
      </rPr>
      <t xml:space="preserve"> culture (1 year)</t>
    </r>
  </si>
  <si>
    <t>5. Transfer of juveniles to restoration site</t>
  </si>
  <si>
    <t>6. Monitoring and maintenance (monthly for 1 year)</t>
  </si>
  <si>
    <r>
      <t>Larval rearing (</t>
    </r>
    <r>
      <rPr>
        <b/>
        <i/>
        <sz val="9"/>
        <rFont val="Arial"/>
        <family val="2"/>
      </rPr>
      <t>Ex situ</t>
    </r>
    <r>
      <rPr>
        <b/>
        <sz val="9"/>
        <rFont val="Arial"/>
        <family val="2"/>
      </rPr>
      <t xml:space="preserve"> and </t>
    </r>
    <r>
      <rPr>
        <b/>
        <i/>
        <sz val="9"/>
        <rFont val="Arial"/>
        <family val="2"/>
      </rPr>
      <t>in situ</t>
    </r>
    <r>
      <rPr>
        <b/>
        <sz val="9"/>
        <rFont val="Arial"/>
        <family val="2"/>
      </rPr>
      <t xml:space="preserve"> culture to produce 5000 coral plug-ins with juvenile corals)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</si>
</sst>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$-1409]#,##0.00"/>
    <numFmt numFmtId="174" formatCode="[$$-2409]#,##0.00"/>
    <numFmt numFmtId="175" formatCode="[$$-1409]#,##0.0"/>
    <numFmt numFmtId="176" formatCode="[$$-1409]#,##0"/>
    <numFmt numFmtId="177" formatCode="0.0%"/>
    <numFmt numFmtId="178" formatCode="[$$-409]#,##0"/>
  </numFmts>
  <fonts count="1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7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176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3" fontId="7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173" fontId="7" fillId="2" borderId="8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176" fontId="6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178" fontId="6" fillId="2" borderId="8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76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73" fontId="6" fillId="3" borderId="0" xfId="0" applyNumberFormat="1" applyFont="1" applyFill="1" applyAlignment="1">
      <alignment/>
    </xf>
    <xf numFmtId="176" fontId="7" fillId="3" borderId="0" xfId="0" applyNumberFormat="1" applyFont="1" applyFill="1" applyAlignment="1">
      <alignment/>
    </xf>
    <xf numFmtId="176" fontId="8" fillId="3" borderId="0" xfId="0" applyNumberFormat="1" applyFont="1" applyFill="1" applyAlignment="1">
      <alignment/>
    </xf>
    <xf numFmtId="0" fontId="4" fillId="3" borderId="0" xfId="0" applyFont="1" applyFill="1" applyAlignment="1">
      <alignment horizontal="right" wrapText="1"/>
    </xf>
    <xf numFmtId="0" fontId="8" fillId="3" borderId="0" xfId="0" applyFont="1" applyFill="1" applyAlignment="1">
      <alignment/>
    </xf>
    <xf numFmtId="176" fontId="8" fillId="3" borderId="9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6" fontId="7" fillId="2" borderId="8" xfId="0" applyNumberFormat="1" applyFont="1" applyFill="1" applyBorder="1" applyAlignment="1">
      <alignment/>
    </xf>
    <xf numFmtId="176" fontId="7" fillId="2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3" xfId="19" applyFont="1" applyBorder="1" applyAlignment="1">
      <alignment/>
    </xf>
    <xf numFmtId="177" fontId="1" fillId="0" borderId="13" xfId="19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7" fontId="1" fillId="0" borderId="17" xfId="19" applyNumberFormat="1" applyFont="1" applyBorder="1" applyAlignment="1">
      <alignment/>
    </xf>
    <xf numFmtId="0" fontId="1" fillId="3" borderId="0" xfId="0" applyFont="1" applyFill="1" applyAlignment="1">
      <alignment horizontal="center"/>
    </xf>
    <xf numFmtId="9" fontId="7" fillId="3" borderId="0" xfId="19" applyFont="1" applyFill="1" applyAlignment="1">
      <alignment horizontal="center"/>
    </xf>
    <xf numFmtId="0" fontId="1" fillId="3" borderId="18" xfId="0" applyFont="1" applyFill="1" applyBorder="1" applyAlignment="1">
      <alignment wrapText="1"/>
    </xf>
    <xf numFmtId="176" fontId="6" fillId="3" borderId="18" xfId="0" applyNumberFormat="1" applyFont="1" applyFill="1" applyBorder="1" applyAlignment="1">
      <alignment/>
    </xf>
    <xf numFmtId="0" fontId="6" fillId="3" borderId="18" xfId="0" applyFont="1" applyFill="1" applyBorder="1" applyAlignment="1">
      <alignment/>
    </xf>
    <xf numFmtId="173" fontId="6" fillId="3" borderId="18" xfId="0" applyNumberFormat="1" applyFont="1" applyFill="1" applyBorder="1" applyAlignment="1">
      <alignment/>
    </xf>
    <xf numFmtId="176" fontId="7" fillId="3" borderId="18" xfId="0" applyNumberFormat="1" applyFont="1" applyFill="1" applyBorder="1" applyAlignment="1">
      <alignment/>
    </xf>
    <xf numFmtId="176" fontId="8" fillId="3" borderId="18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176" fontId="8" fillId="0" borderId="0" xfId="0" applyNumberFormat="1" applyFont="1" applyAlignment="1">
      <alignment/>
    </xf>
    <xf numFmtId="0" fontId="9" fillId="4" borderId="1" xfId="0" applyFont="1" applyFill="1" applyBorder="1" applyAlignment="1">
      <alignment/>
    </xf>
    <xf numFmtId="0" fontId="0" fillId="4" borderId="4" xfId="0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173" fontId="1" fillId="4" borderId="0" xfId="0" applyNumberFormat="1" applyFont="1" applyFill="1" applyBorder="1" applyAlignment="1">
      <alignment/>
    </xf>
    <xf numFmtId="173" fontId="1" fillId="4" borderId="5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right" wrapText="1"/>
    </xf>
    <xf numFmtId="176" fontId="1" fillId="4" borderId="0" xfId="0" applyNumberFormat="1" applyFont="1" applyFill="1" applyBorder="1" applyAlignment="1">
      <alignment/>
    </xf>
    <xf numFmtId="0" fontId="1" fillId="4" borderId="4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0" borderId="0" xfId="0" applyFont="1" applyAlignment="1">
      <alignment/>
    </xf>
    <xf numFmtId="176" fontId="10" fillId="0" borderId="0" xfId="0" applyNumberFormat="1" applyFont="1" applyAlignment="1">
      <alignment/>
    </xf>
    <xf numFmtId="173" fontId="1" fillId="4" borderId="7" xfId="0" applyNumberFormat="1" applyFont="1" applyFill="1" applyBorder="1" applyAlignment="1">
      <alignment/>
    </xf>
    <xf numFmtId="173" fontId="1" fillId="4" borderId="8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9" fontId="7" fillId="3" borderId="18" xfId="19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52.421875" style="3" customWidth="1"/>
    <col min="2" max="2" width="11.421875" style="1" customWidth="1"/>
    <col min="3" max="3" width="10.8515625" style="1" customWidth="1"/>
    <col min="4" max="4" width="9.00390625" style="1" customWidth="1"/>
    <col min="5" max="5" width="9.421875" style="1" customWidth="1"/>
    <col min="6" max="6" width="9.28125" style="1" customWidth="1"/>
    <col min="7" max="7" width="9.00390625" style="1" customWidth="1"/>
    <col min="8" max="8" width="10.00390625" style="1" customWidth="1"/>
    <col min="9" max="9" width="8.140625" style="1" customWidth="1"/>
    <col min="10" max="12" width="10.28125" style="1" customWidth="1"/>
    <col min="13" max="13" width="9.28125" style="1" customWidth="1"/>
    <col min="14" max="14" width="13.00390625" style="1" customWidth="1"/>
    <col min="15" max="15" width="8.140625" style="1" customWidth="1"/>
    <col min="16" max="16384" width="10.28125" style="1" customWidth="1"/>
  </cols>
  <sheetData>
    <row r="1" ht="10.5">
      <c r="A1" s="6" t="s">
        <v>59</v>
      </c>
    </row>
    <row r="2" spans="1:3" ht="12" thickBot="1">
      <c r="A2" s="5"/>
      <c r="C2" s="2" t="s">
        <v>16</v>
      </c>
    </row>
    <row r="3" spans="1:3" ht="10.5">
      <c r="A3" s="7" t="s">
        <v>17</v>
      </c>
      <c r="B3" s="8" t="s">
        <v>8</v>
      </c>
      <c r="C3" s="9" t="s">
        <v>9</v>
      </c>
    </row>
    <row r="4" spans="1:3" ht="10.5">
      <c r="A4" s="10" t="s">
        <v>18</v>
      </c>
      <c r="B4" s="11">
        <v>900</v>
      </c>
      <c r="C4" s="12">
        <f>B4/160</f>
        <v>5.625</v>
      </c>
    </row>
    <row r="5" spans="1:3" ht="12" thickBot="1">
      <c r="A5" s="10" t="s">
        <v>19</v>
      </c>
      <c r="B5" s="11">
        <v>560</v>
      </c>
      <c r="C5" s="12">
        <f>B5/160</f>
        <v>3.5</v>
      </c>
    </row>
    <row r="6" spans="1:9" ht="12" thickBot="1">
      <c r="A6" s="13" t="s">
        <v>15</v>
      </c>
      <c r="B6" s="14">
        <v>210</v>
      </c>
      <c r="C6" s="15">
        <f>B6/160</f>
        <v>1.3125</v>
      </c>
      <c r="F6" s="93" t="s">
        <v>20</v>
      </c>
      <c r="G6" s="94"/>
      <c r="H6" s="94"/>
      <c r="I6" s="95"/>
    </row>
    <row r="7" spans="1:14" ht="12" thickBot="1">
      <c r="A7" s="5"/>
      <c r="F7" s="16" t="s">
        <v>21</v>
      </c>
      <c r="G7" s="17">
        <v>2</v>
      </c>
      <c r="H7" s="18" t="s">
        <v>22</v>
      </c>
      <c r="I7" s="19">
        <v>30</v>
      </c>
      <c r="N7" s="1" t="s">
        <v>39</v>
      </c>
    </row>
    <row r="8" spans="1:15" ht="25.5" customHeight="1">
      <c r="A8" s="20"/>
      <c r="B8" s="21" t="s">
        <v>23</v>
      </c>
      <c r="C8" s="92" t="s">
        <v>24</v>
      </c>
      <c r="D8" s="92"/>
      <c r="E8" s="92"/>
      <c r="F8" s="22"/>
      <c r="G8" s="22"/>
      <c r="H8" s="23" t="s">
        <v>25</v>
      </c>
      <c r="I8" s="22"/>
      <c r="J8" s="22" t="s">
        <v>26</v>
      </c>
      <c r="K8" s="56" t="s">
        <v>43</v>
      </c>
      <c r="M8" s="43"/>
      <c r="N8" s="44"/>
      <c r="O8" s="45" t="s">
        <v>27</v>
      </c>
    </row>
    <row r="9" spans="1:15" ht="12">
      <c r="A9" s="24" t="s">
        <v>0</v>
      </c>
      <c r="B9" s="23" t="s">
        <v>1</v>
      </c>
      <c r="C9" s="23" t="s">
        <v>2</v>
      </c>
      <c r="D9" s="23" t="s">
        <v>6</v>
      </c>
      <c r="E9" s="23" t="s">
        <v>1</v>
      </c>
      <c r="F9" s="23" t="s">
        <v>28</v>
      </c>
      <c r="G9" s="23" t="s">
        <v>1</v>
      </c>
      <c r="H9" s="23" t="s">
        <v>29</v>
      </c>
      <c r="I9" s="23" t="s">
        <v>1</v>
      </c>
      <c r="J9" s="23" t="s">
        <v>1</v>
      </c>
      <c r="K9" s="56" t="s">
        <v>44</v>
      </c>
      <c r="M9" s="96" t="s">
        <v>38</v>
      </c>
      <c r="N9" s="97"/>
      <c r="O9" s="46" t="s">
        <v>30</v>
      </c>
    </row>
    <row r="10" spans="1:15" ht="10.5">
      <c r="A10" s="25" t="s">
        <v>52</v>
      </c>
      <c r="B10" s="26">
        <v>14</v>
      </c>
      <c r="C10" s="27">
        <v>32</v>
      </c>
      <c r="D10" s="28">
        <f>AVERAGE(Wage_rate1,Wage_rate2)</f>
        <v>4.5625</v>
      </c>
      <c r="E10" s="29">
        <f aca="true" t="shared" si="0" ref="E10:E16">D10*C10</f>
        <v>146</v>
      </c>
      <c r="F10" s="27">
        <v>8</v>
      </c>
      <c r="G10" s="29">
        <f aca="true" t="shared" si="1" ref="G10:G16">F10*airfill_rate</f>
        <v>16</v>
      </c>
      <c r="H10" s="27">
        <v>2</v>
      </c>
      <c r="I10" s="29">
        <f aca="true" t="shared" si="2" ref="I10:I16">H10*boat_hire_rate</f>
        <v>60</v>
      </c>
      <c r="J10" s="30">
        <f aca="true" t="shared" si="3" ref="J10:J17">B10+E10+G10+I10</f>
        <v>236</v>
      </c>
      <c r="K10" s="57">
        <f aca="true" t="shared" si="4" ref="K10:K17">J10/$J$17</f>
        <v>0.016271092955513038</v>
      </c>
      <c r="M10" s="47"/>
      <c r="N10" s="48"/>
      <c r="O10" s="46" t="s">
        <v>31</v>
      </c>
    </row>
    <row r="11" spans="1:15" ht="12" customHeight="1">
      <c r="A11" s="25" t="s">
        <v>53</v>
      </c>
      <c r="B11" s="26">
        <v>240</v>
      </c>
      <c r="C11" s="27">
        <v>16</v>
      </c>
      <c r="D11" s="28">
        <f>AVERAGE(Wage_rate1,Wage_rate2)</f>
        <v>4.5625</v>
      </c>
      <c r="E11" s="29">
        <f t="shared" si="0"/>
        <v>73</v>
      </c>
      <c r="F11" s="27">
        <v>4</v>
      </c>
      <c r="G11" s="29">
        <f t="shared" si="1"/>
        <v>8</v>
      </c>
      <c r="H11" s="27">
        <v>1</v>
      </c>
      <c r="I11" s="29">
        <f t="shared" si="2"/>
        <v>30</v>
      </c>
      <c r="J11" s="30">
        <f t="shared" si="3"/>
        <v>351</v>
      </c>
      <c r="K11" s="57">
        <f t="shared" si="4"/>
        <v>0.02419980350586897</v>
      </c>
      <c r="M11" s="47">
        <v>1000000</v>
      </c>
      <c r="N11" s="48" t="s">
        <v>3</v>
      </c>
      <c r="O11" s="49"/>
    </row>
    <row r="12" spans="1:15" ht="12" customHeight="1">
      <c r="A12" s="25" t="s">
        <v>54</v>
      </c>
      <c r="B12" s="26">
        <v>260</v>
      </c>
      <c r="C12" s="27">
        <v>320</v>
      </c>
      <c r="D12" s="28">
        <f>AVERAGE(Wage_rate2,Wage_rate3)</f>
        <v>2.40625</v>
      </c>
      <c r="E12" s="29">
        <f t="shared" si="0"/>
        <v>770</v>
      </c>
      <c r="F12" s="27">
        <v>8</v>
      </c>
      <c r="G12" s="29">
        <f t="shared" si="1"/>
        <v>16</v>
      </c>
      <c r="H12" s="27">
        <v>2</v>
      </c>
      <c r="I12" s="29">
        <f t="shared" si="2"/>
        <v>60</v>
      </c>
      <c r="J12" s="30">
        <f t="shared" si="3"/>
        <v>1106</v>
      </c>
      <c r="K12" s="57">
        <f t="shared" si="4"/>
        <v>0.07625351190168399</v>
      </c>
      <c r="M12" s="50"/>
      <c r="N12" s="48"/>
      <c r="O12" s="49"/>
    </row>
    <row r="13" spans="1:15" ht="10.5">
      <c r="A13" s="25" t="s">
        <v>55</v>
      </c>
      <c r="B13" s="26">
        <v>3358</v>
      </c>
      <c r="C13" s="27">
        <v>308</v>
      </c>
      <c r="D13" s="28">
        <f>AVERAGE(Wage_rate1,Wage_rate2)</f>
        <v>4.5625</v>
      </c>
      <c r="E13" s="29">
        <f t="shared" si="0"/>
        <v>1405.25</v>
      </c>
      <c r="F13" s="27">
        <v>32</v>
      </c>
      <c r="G13" s="29">
        <f t="shared" si="1"/>
        <v>64</v>
      </c>
      <c r="H13" s="27">
        <v>4</v>
      </c>
      <c r="I13" s="29">
        <f t="shared" si="2"/>
        <v>120</v>
      </c>
      <c r="J13" s="30">
        <f>B13+E13+G13+I13-2/3*Capital_equipment_costs_split_over_3_years</f>
        <v>2933.916666666667</v>
      </c>
      <c r="K13" s="57">
        <f t="shared" si="4"/>
        <v>0.20227979155534875</v>
      </c>
      <c r="M13" s="47">
        <v>500000</v>
      </c>
      <c r="N13" s="48" t="s">
        <v>4</v>
      </c>
      <c r="O13" s="51">
        <f>Settled_polyps/M11</f>
        <v>0.5</v>
      </c>
    </row>
    <row r="14" spans="1:15" ht="13.5" customHeight="1">
      <c r="A14" s="25" t="s">
        <v>56</v>
      </c>
      <c r="B14" s="26">
        <v>24</v>
      </c>
      <c r="C14" s="27">
        <v>384</v>
      </c>
      <c r="D14" s="28">
        <f>Wage_rate3</f>
        <v>1.3125</v>
      </c>
      <c r="E14" s="29">
        <f t="shared" si="0"/>
        <v>504</v>
      </c>
      <c r="F14" s="27">
        <v>96</v>
      </c>
      <c r="G14" s="29">
        <f t="shared" si="1"/>
        <v>192</v>
      </c>
      <c r="H14" s="27">
        <v>24</v>
      </c>
      <c r="I14" s="29">
        <f t="shared" si="2"/>
        <v>720</v>
      </c>
      <c r="J14" s="30">
        <f t="shared" si="3"/>
        <v>1440</v>
      </c>
      <c r="K14" s="57">
        <f t="shared" si="4"/>
        <v>0.09928124515228295</v>
      </c>
      <c r="M14" s="47"/>
      <c r="N14" s="48"/>
      <c r="O14" s="51"/>
    </row>
    <row r="15" spans="1:15" ht="10.5">
      <c r="A15" s="58" t="s">
        <v>57</v>
      </c>
      <c r="B15" s="59">
        <v>536</v>
      </c>
      <c r="C15" s="60">
        <v>1280</v>
      </c>
      <c r="D15" s="61">
        <f>AVERAGE(Wage_rate1,Wage_rate2,Wage_rate3)</f>
        <v>3.4791666666666665</v>
      </c>
      <c r="E15" s="62">
        <f t="shared" si="0"/>
        <v>4453.333333333333</v>
      </c>
      <c r="F15" s="60">
        <v>320</v>
      </c>
      <c r="G15" s="62">
        <f t="shared" si="1"/>
        <v>640</v>
      </c>
      <c r="H15" s="60">
        <v>40</v>
      </c>
      <c r="I15" s="62">
        <f t="shared" si="2"/>
        <v>1200</v>
      </c>
      <c r="J15" s="63">
        <f t="shared" si="3"/>
        <v>6829.333333333333</v>
      </c>
      <c r="K15" s="91">
        <f t="shared" si="4"/>
        <v>0.47085049784258637</v>
      </c>
      <c r="L15" s="49"/>
      <c r="M15" s="50">
        <v>500</v>
      </c>
      <c r="N15" s="48" t="s">
        <v>5</v>
      </c>
      <c r="O15" s="52">
        <f>M15/Settled_polyps</f>
        <v>0.001</v>
      </c>
    </row>
    <row r="16" spans="1:15" ht="12" thickBot="1">
      <c r="A16" s="25" t="s">
        <v>58</v>
      </c>
      <c r="B16" s="26">
        <v>0</v>
      </c>
      <c r="C16" s="27">
        <v>384</v>
      </c>
      <c r="D16" s="28">
        <f>Wage_rate3</f>
        <v>1.3125</v>
      </c>
      <c r="E16" s="29">
        <f t="shared" si="0"/>
        <v>504</v>
      </c>
      <c r="F16" s="27">
        <v>192</v>
      </c>
      <c r="G16" s="29">
        <f t="shared" si="1"/>
        <v>384</v>
      </c>
      <c r="H16" s="27">
        <v>24</v>
      </c>
      <c r="I16" s="29">
        <f t="shared" si="2"/>
        <v>720</v>
      </c>
      <c r="J16" s="30">
        <f t="shared" si="3"/>
        <v>1608</v>
      </c>
      <c r="K16" s="57">
        <f t="shared" si="4"/>
        <v>0.11086405708671596</v>
      </c>
      <c r="M16" s="53">
        <v>50</v>
      </c>
      <c r="N16" s="54" t="s">
        <v>7</v>
      </c>
      <c r="O16" s="55">
        <f>M16/M15</f>
        <v>0.1</v>
      </c>
    </row>
    <row r="17" spans="1:13" ht="12" customHeight="1" thickBot="1">
      <c r="A17" s="31" t="s">
        <v>35</v>
      </c>
      <c r="B17" s="30">
        <f>SUM(B10:B16)-2/3*Capital_equipment_costs_split_over_3_years</f>
        <v>2418.666666666667</v>
      </c>
      <c r="C17" s="32">
        <f>SUM(C10:C16)</f>
        <v>2724</v>
      </c>
      <c r="D17" s="32"/>
      <c r="E17" s="30">
        <f>SUM(E10:E16)</f>
        <v>7855.583333333333</v>
      </c>
      <c r="F17" s="32">
        <f>SUM(F10:F16)</f>
        <v>660</v>
      </c>
      <c r="G17" s="30">
        <f>SUM(G10:G16)</f>
        <v>1320</v>
      </c>
      <c r="H17" s="32">
        <f>SUM(H10:H16)</f>
        <v>97</v>
      </c>
      <c r="I17" s="30">
        <f>SUM(I10:I16)</f>
        <v>2910</v>
      </c>
      <c r="J17" s="33">
        <f t="shared" si="3"/>
        <v>14504.25</v>
      </c>
      <c r="K17" s="57">
        <f t="shared" si="4"/>
        <v>1</v>
      </c>
      <c r="M17" s="4"/>
    </row>
    <row r="18" spans="1:2" ht="10.5">
      <c r="A18" s="73" t="s">
        <v>45</v>
      </c>
      <c r="B18" s="86">
        <v>3020</v>
      </c>
    </row>
    <row r="19" spans="1:7" ht="12" thickBot="1">
      <c r="A19" s="73" t="s">
        <v>46</v>
      </c>
      <c r="B19" s="74">
        <f>I22</f>
        <v>3200</v>
      </c>
      <c r="F19" s="4"/>
      <c r="G19" s="4"/>
    </row>
    <row r="20" spans="1:9" ht="12">
      <c r="A20"/>
      <c r="B20"/>
      <c r="C20"/>
      <c r="E20" s="72" t="s">
        <v>10</v>
      </c>
      <c r="F20" s="70" t="s">
        <v>40</v>
      </c>
      <c r="G20" s="70" t="s">
        <v>6</v>
      </c>
      <c r="H20" s="70" t="s">
        <v>13</v>
      </c>
      <c r="I20" s="71" t="s">
        <v>32</v>
      </c>
    </row>
    <row r="21" spans="1:10" ht="12.75" thickBot="1">
      <c r="A21"/>
      <c r="B21"/>
      <c r="C21"/>
      <c r="E21" s="36" t="s">
        <v>48</v>
      </c>
      <c r="F21" s="37" t="s">
        <v>11</v>
      </c>
      <c r="G21" s="11">
        <v>20</v>
      </c>
      <c r="H21" s="64" t="s">
        <v>47</v>
      </c>
      <c r="I21" s="40">
        <f>G21*H24*2+G21*H25*4</f>
        <v>1500</v>
      </c>
      <c r="J21" s="85" t="s">
        <v>51</v>
      </c>
    </row>
    <row r="22" spans="1:10" ht="12" customHeight="1" thickBot="1">
      <c r="A22"/>
      <c r="B22"/>
      <c r="C22"/>
      <c r="E22" s="38"/>
      <c r="F22" s="39" t="s">
        <v>12</v>
      </c>
      <c r="G22" s="14">
        <v>800</v>
      </c>
      <c r="H22" s="65">
        <v>4</v>
      </c>
      <c r="I22" s="41">
        <f>H22*G22</f>
        <v>3200</v>
      </c>
      <c r="J22" s="85" t="s">
        <v>50</v>
      </c>
    </row>
    <row r="23" spans="1:3" ht="12" customHeight="1" thickBot="1">
      <c r="A23"/>
      <c r="B23"/>
      <c r="C23"/>
    </row>
    <row r="24" spans="1:8" ht="12" customHeight="1">
      <c r="A24"/>
      <c r="B24"/>
      <c r="C24"/>
      <c r="F24" s="34" t="s">
        <v>41</v>
      </c>
      <c r="G24" s="35"/>
      <c r="H24" s="66">
        <v>15.5</v>
      </c>
    </row>
    <row r="25" spans="1:8" ht="12" customHeight="1" thickBot="1">
      <c r="A25"/>
      <c r="B25"/>
      <c r="C25"/>
      <c r="F25" s="38" t="s">
        <v>42</v>
      </c>
      <c r="G25" s="39"/>
      <c r="H25" s="67">
        <v>11</v>
      </c>
    </row>
    <row r="26" spans="1:3" ht="12" customHeight="1" thickBot="1">
      <c r="A26"/>
      <c r="B26"/>
      <c r="C26"/>
    </row>
    <row r="27" spans="1:4" ht="12" customHeight="1">
      <c r="A27" s="75" t="s">
        <v>33</v>
      </c>
      <c r="B27" s="68"/>
      <c r="C27" s="68"/>
      <c r="D27" s="69"/>
    </row>
    <row r="28" spans="1:4" ht="12" customHeight="1">
      <c r="A28" s="76" t="s">
        <v>36</v>
      </c>
      <c r="B28" s="89">
        <v>3000</v>
      </c>
      <c r="C28" s="89">
        <v>4000</v>
      </c>
      <c r="D28" s="90">
        <v>5000</v>
      </c>
    </row>
    <row r="29" spans="1:4" ht="12" customHeight="1">
      <c r="A29" s="76" t="s">
        <v>49</v>
      </c>
      <c r="B29" s="79">
        <f>(SUM($J$10:$J$14)+1/3*Diving_equipment_cost_per_year)/B28</f>
        <v>2.377861111111111</v>
      </c>
      <c r="C29" s="79">
        <f>(SUM($J$10:$J$14)+1/3*Diving_equipment_cost_per_year)/C28</f>
        <v>1.7833958333333335</v>
      </c>
      <c r="D29" s="80">
        <f>(SUM($J$10:$J$14)+1/3*Diving_equipment_cost_per_year)/D28</f>
        <v>1.4267166666666669</v>
      </c>
    </row>
    <row r="30" spans="1:5" ht="10.5">
      <c r="A30" s="81" t="s">
        <v>37</v>
      </c>
      <c r="B30" s="79">
        <f>(SUM($J$10:$J$15)+1/3*Diving_equipment_cost_per_year)/B28</f>
        <v>4.654305555555555</v>
      </c>
      <c r="C30" s="79">
        <f>(SUM($J$10:$J$15)+1/3*Diving_equipment_cost_per_year)/C28</f>
        <v>3.4907291666666667</v>
      </c>
      <c r="D30" s="80">
        <f>(SUM($J$10:$J$15)+1/3*Diving_equipment_cost_per_year)/D28</f>
        <v>2.7925833333333334</v>
      </c>
      <c r="E30" s="42"/>
    </row>
    <row r="31" spans="1:4" ht="10.5">
      <c r="A31" s="81"/>
      <c r="B31" s="82"/>
      <c r="C31" s="77"/>
      <c r="D31" s="78"/>
    </row>
    <row r="32" spans="1:4" ht="10.5">
      <c r="A32" s="81" t="s">
        <v>14</v>
      </c>
      <c r="B32" s="82"/>
      <c r="C32" s="77"/>
      <c r="D32" s="78"/>
    </row>
    <row r="33" spans="1:4" ht="10.5">
      <c r="A33" s="81" t="s">
        <v>34</v>
      </c>
      <c r="B33" s="77"/>
      <c r="C33" s="77"/>
      <c r="D33" s="78"/>
    </row>
    <row r="34" spans="1:4" ht="10.5">
      <c r="A34" s="83">
        <v>80</v>
      </c>
      <c r="B34" s="79">
        <f aca="true" t="shared" si="5" ref="B34:D41">($J$17+1/3*Diving_equipment_cost_per_year)/B$28*(100/Survival_rate_from_1_to_2_years_old)</f>
        <v>6.487881944444444</v>
      </c>
      <c r="C34" s="79">
        <f t="shared" si="5"/>
        <v>4.865911458333333</v>
      </c>
      <c r="D34" s="80">
        <f t="shared" si="5"/>
        <v>3.8927291666666664</v>
      </c>
    </row>
    <row r="35" spans="1:4" ht="10.5">
      <c r="A35" s="83">
        <v>70</v>
      </c>
      <c r="B35" s="79">
        <f t="shared" si="5"/>
        <v>7.414722222222222</v>
      </c>
      <c r="C35" s="79">
        <f t="shared" si="5"/>
        <v>5.561041666666666</v>
      </c>
      <c r="D35" s="80">
        <f t="shared" si="5"/>
        <v>4.448833333333333</v>
      </c>
    </row>
    <row r="36" spans="1:4" ht="10.5">
      <c r="A36" s="83">
        <v>60</v>
      </c>
      <c r="B36" s="79">
        <f t="shared" si="5"/>
        <v>8.65050925925926</v>
      </c>
      <c r="C36" s="79">
        <f t="shared" si="5"/>
        <v>6.487881944444444</v>
      </c>
      <c r="D36" s="80">
        <f t="shared" si="5"/>
        <v>5.190305555555556</v>
      </c>
    </row>
    <row r="37" spans="1:4" ht="10.5">
      <c r="A37" s="83">
        <v>50</v>
      </c>
      <c r="B37" s="79">
        <f t="shared" si="5"/>
        <v>10.380611111111111</v>
      </c>
      <c r="C37" s="79">
        <f t="shared" si="5"/>
        <v>7.785458333333333</v>
      </c>
      <c r="D37" s="80">
        <f t="shared" si="5"/>
        <v>6.228366666666666</v>
      </c>
    </row>
    <row r="38" spans="1:4" ht="10.5">
      <c r="A38" s="83">
        <v>40</v>
      </c>
      <c r="B38" s="79">
        <f t="shared" si="5"/>
        <v>12.975763888888888</v>
      </c>
      <c r="C38" s="79">
        <f t="shared" si="5"/>
        <v>9.731822916666665</v>
      </c>
      <c r="D38" s="80">
        <f t="shared" si="5"/>
        <v>7.785458333333333</v>
      </c>
    </row>
    <row r="39" spans="1:4" ht="10.5">
      <c r="A39" s="83">
        <v>30</v>
      </c>
      <c r="B39" s="79">
        <f t="shared" si="5"/>
        <v>17.30101851851852</v>
      </c>
      <c r="C39" s="79">
        <f t="shared" si="5"/>
        <v>12.975763888888888</v>
      </c>
      <c r="D39" s="80">
        <f t="shared" si="5"/>
        <v>10.380611111111111</v>
      </c>
    </row>
    <row r="40" spans="1:4" ht="10.5">
      <c r="A40" s="83">
        <v>20</v>
      </c>
      <c r="B40" s="79">
        <f t="shared" si="5"/>
        <v>25.951527777777777</v>
      </c>
      <c r="C40" s="79">
        <f t="shared" si="5"/>
        <v>19.46364583333333</v>
      </c>
      <c r="D40" s="80">
        <f t="shared" si="5"/>
        <v>15.570916666666665</v>
      </c>
    </row>
    <row r="41" spans="1:4" ht="12" thickBot="1">
      <c r="A41" s="84">
        <v>10</v>
      </c>
      <c r="B41" s="87">
        <f t="shared" si="5"/>
        <v>51.903055555555554</v>
      </c>
      <c r="C41" s="87">
        <f t="shared" si="5"/>
        <v>38.92729166666666</v>
      </c>
      <c r="D41" s="88">
        <f t="shared" si="5"/>
        <v>31.14183333333333</v>
      </c>
    </row>
  </sheetData>
  <mergeCells count="3">
    <mergeCell ref="C8:E8"/>
    <mergeCell ref="F6:I6"/>
    <mergeCell ref="M9:N9"/>
  </mergeCells>
  <printOptions/>
  <pageMargins left="0.18" right="0.19" top="0.984251968503937" bottom="0.984251968503937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Newcastle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Larval rearing (Ex situ and in situ culture to produce 5000 coral plug-ins with juvenile corals)</dc:title>
  <dc:subject>Example 7.3 in: Reef Rehabilitation Manual (ed. A.J. Edwards). Coral Reef Targeted Research &amp; Capacity Building for Management Program: St. Lucia, Australia.</dc:subject>
  <dc:creator>Alasdair James Edwards</dc:creator>
  <cp:keywords/>
  <dc:description>With efficiency gains</dc:description>
  <cp:lastModifiedBy>Melanie King</cp:lastModifiedBy>
  <cp:lastPrinted>2010-03-05T09:44:03Z</cp:lastPrinted>
  <dcterms:created xsi:type="dcterms:W3CDTF">2009-07-02T08:50:41Z</dcterms:created>
  <dcterms:modified xsi:type="dcterms:W3CDTF">2010-06-24T22:16:37Z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1945445752</vt:i4>
  </property>
  <property fmtid="{D5CDD505-2E9C-101B-9397-08002B2CF9AE}" pid="3" name="_EmailSubject">
    <vt:lpwstr>Costings</vt:lpwstr>
  </property>
  <property fmtid="{D5CDD505-2E9C-101B-9397-08002B2CF9AE}" pid="4" name="_AuthorEmail">
    <vt:lpwstr>james.guest@nus.edu.sg</vt:lpwstr>
  </property>
  <property fmtid="{D5CDD505-2E9C-101B-9397-08002B2CF9AE}" pid="5" name="_AuthorEmailDisplayName">
    <vt:lpwstr>Guest, James R</vt:lpwstr>
  </property>
  <property fmtid="{D5CDD505-2E9C-101B-9397-08002B2CF9AE}" pid="6" name="_PreviousAdHocReviewCycleID">
    <vt:i4>2131887620</vt:i4>
  </property>
  <property fmtid="{D5CDD505-2E9C-101B-9397-08002B2CF9AE}" pid="7" name="_ReviewingToolsShownOnce">
    <vt:lpwstr/>
  </property>
</Properties>
</file>