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" windowWidth="9440" windowHeight="7680" tabRatio="690" activeTab="0"/>
  </bookViews>
  <sheets>
    <sheet name="Tray nursery - efficiency gains" sheetId="1" r:id="rId1"/>
  </sheets>
  <definedNames>
    <definedName name="airfill_rate">'Tray nursery - efficiency gains'!$G$7</definedName>
    <definedName name="boat_hire_rate">'Tray nursery - efficiency gains'!$I$7</definedName>
    <definedName name="Capital_equipment_costs_split_over_3_years">'Tray nursery - efficiency gains'!$B$17</definedName>
    <definedName name="Diving_equipment_cost_per_year">'Tray nursery - efficiency gains'!$B$18</definedName>
    <definedName name="Settled_polyps">'Tray nursery - efficiency gains'!$K$14</definedName>
    <definedName name="Survival_rate_from_1_to_2_years_old">'Tray nursery - efficiency gains'!$A$34:$A$43</definedName>
    <definedName name="Wage_rate1">'Tray nursery - efficiency gains'!$C$4</definedName>
    <definedName name="Wage_rate2">'Tray nursery - efficiency gains'!$C$5</definedName>
    <definedName name="Wage_rate3">'Tray nursery - efficiency gains'!$C$6</definedName>
  </definedNames>
  <calcPr fullCalcOnLoad="1"/>
</workbook>
</file>

<file path=xl/sharedStrings.xml><?xml version="1.0" encoding="utf-8"?>
<sst xmlns="http://schemas.openxmlformats.org/spreadsheetml/2006/main" count="54" uniqueCount="49">
  <si>
    <t>USD</t>
  </si>
  <si>
    <t>Person-hours</t>
  </si>
  <si>
    <t>Rate</t>
  </si>
  <si>
    <t>Monthly</t>
  </si>
  <si>
    <t>Hourly</t>
  </si>
  <si>
    <t>Diving gear</t>
  </si>
  <si>
    <t>Daily hire</t>
  </si>
  <si>
    <t>Purchase</t>
  </si>
  <si>
    <t>Persons</t>
  </si>
  <si>
    <t>Equipment/ consumables</t>
  </si>
  <si>
    <t>Total</t>
  </si>
  <si>
    <t>Boat days with 2 divers</t>
  </si>
  <si>
    <t>Boat days with 4 divers</t>
  </si>
  <si>
    <t>Per set</t>
  </si>
  <si>
    <t>Skill level 2 (medium) salary - e.g. trained educated local</t>
  </si>
  <si>
    <t>Skill level 3 (lowest) salary - e.g. trained manual labour</t>
  </si>
  <si>
    <t>Time input by personnel</t>
  </si>
  <si>
    <t>Annualised total (nursery construction cost split over 3 years)</t>
  </si>
  <si>
    <t>Total cost/yr</t>
  </si>
  <si>
    <t>Local wage rates</t>
  </si>
  <si>
    <t>Monthly/160</t>
  </si>
  <si>
    <t># air-tanks</t>
  </si>
  <si>
    <t>Local rates (air fills and boat hire)</t>
  </si>
  <si>
    <t>Boat time</t>
  </si>
  <si>
    <t>days</t>
  </si>
  <si>
    <t>boat per day</t>
  </si>
  <si>
    <t>air per tank</t>
  </si>
  <si>
    <t>Skill level 1 (highest) salary - e.g. scientific adviser/expert</t>
  </si>
  <si>
    <t>What if? Scenarios</t>
  </si>
  <si>
    <t>% total</t>
  </si>
  <si>
    <t>cost/yr</t>
  </si>
  <si>
    <t>2 or 4</t>
  </si>
  <si>
    <t>Cheaper to buy 4 sets</t>
  </si>
  <si>
    <r>
      <t xml:space="preserve">Asexual rearing to produce 10,000 coral fragments/year using </t>
    </r>
    <r>
      <rPr>
        <b/>
        <i/>
        <sz val="9"/>
        <rFont val="Arial"/>
        <family val="2"/>
      </rPr>
      <t xml:space="preserve">in-situ </t>
    </r>
    <r>
      <rPr>
        <b/>
        <sz val="9"/>
        <rFont val="Arial"/>
        <family val="2"/>
      </rPr>
      <t>modular tray nurseries</t>
    </r>
  </si>
  <si>
    <t>Capital equipment - costs split over 3 years</t>
  </si>
  <si>
    <t>Diving equipment - costs split over 3 years</t>
  </si>
  <si>
    <t>Cost per 2-year transplanted colony at restoration site</t>
  </si>
  <si>
    <t>Task</t>
  </si>
  <si>
    <t>1. Collection of source material for 10,000 fragments</t>
  </si>
  <si>
    <t>2. Setting up 10,000 fragment tray nursery</t>
  </si>
  <si>
    <t xml:space="preserve">3. Establishing 10,000 fragments in nursery-culture </t>
  </si>
  <si>
    <r>
      <t xml:space="preserve">4. Maintenance of material in </t>
    </r>
    <r>
      <rPr>
        <i/>
        <sz val="9"/>
        <rFont val="Arial"/>
        <family val="2"/>
      </rPr>
      <t>in-situ</t>
    </r>
    <r>
      <rPr>
        <sz val="9"/>
        <rFont val="Arial"/>
        <family val="0"/>
      </rPr>
      <t xml:space="preserve"> culture (1 year) </t>
    </r>
  </si>
  <si>
    <t>5. Transfer to and attachment of 10,000 juveniles at restoration site</t>
  </si>
  <si>
    <t>6. Monitoring and maintenance at restoration site (1 year)</t>
  </si>
  <si>
    <r>
      <t>1.</t>
    </r>
    <r>
      <rPr>
        <sz val="10"/>
        <rFont val="Arial"/>
        <family val="0"/>
      </rPr>
      <t xml:space="preserve">                                                            % survival in nursery</t>
    </r>
  </si>
  <si>
    <r>
      <t>a)</t>
    </r>
    <r>
      <rPr>
        <sz val="9"/>
        <rFont val="Arial"/>
        <family val="0"/>
      </rPr>
      <t xml:space="preserve">                                                      Cost per 1-year fragment in nursery</t>
    </r>
  </si>
  <si>
    <r>
      <t>b)</t>
    </r>
    <r>
      <rPr>
        <sz val="9"/>
        <rFont val="Arial"/>
        <family val="0"/>
      </rPr>
      <t xml:space="preserve">                                      Cost per 1-year transplant at restoration site</t>
    </r>
  </si>
  <si>
    <r>
      <t>2.</t>
    </r>
    <r>
      <rPr>
        <sz val="9"/>
        <rFont val="Arial"/>
        <family val="0"/>
      </rPr>
      <t xml:space="preserve">                                        % survival at restoration site (over one year)</t>
    </r>
  </si>
  <si>
    <t>With efficiency gains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</si>
</sst>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$-1409]#,##0.00"/>
    <numFmt numFmtId="174" formatCode="[$$-2409]#,##0.00"/>
    <numFmt numFmtId="175" formatCode="[$$-1409]#,##0.0"/>
    <numFmt numFmtId="176" formatCode="[$$-1409]#,##0"/>
    <numFmt numFmtId="177" formatCode="0.0%"/>
    <numFmt numFmtId="178" formatCode="[$$-409]#,##0"/>
    <numFmt numFmtId="179" formatCode="[$$-409]#,##0.00"/>
  </numFmts>
  <fonts count="14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9"/>
      <color indexed="17"/>
      <name val="Arial"/>
      <family val="0"/>
    </font>
    <font>
      <b/>
      <i/>
      <sz val="9"/>
      <name val="Arial"/>
      <family val="2"/>
    </font>
    <font>
      <sz val="9"/>
      <color indexed="10"/>
      <name val="Arial"/>
      <family val="0"/>
    </font>
    <font>
      <b/>
      <sz val="9"/>
      <color indexed="10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176" fontId="1" fillId="0" borderId="0" xfId="0" applyNumberFormat="1" applyFont="1" applyAlignment="1">
      <alignment/>
    </xf>
    <xf numFmtId="0" fontId="4" fillId="0" borderId="0" xfId="0" applyFont="1" applyAlignment="1">
      <alignment wrapText="1"/>
    </xf>
    <xf numFmtId="9" fontId="1" fillId="0" borderId="0" xfId="21" applyFont="1" applyAlignment="1">
      <alignment/>
    </xf>
    <xf numFmtId="0" fontId="4" fillId="0" borderId="0" xfId="0" applyFont="1" applyAlignment="1">
      <alignment/>
    </xf>
    <xf numFmtId="0" fontId="4" fillId="2" borderId="0" xfId="0" applyFont="1" applyFill="1" applyAlignment="1">
      <alignment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5" fillId="2" borderId="0" xfId="0" applyFont="1" applyFill="1" applyAlignment="1">
      <alignment/>
    </xf>
    <xf numFmtId="176" fontId="5" fillId="2" borderId="0" xfId="0" applyNumberFormat="1" applyFont="1" applyFill="1" applyAlignment="1">
      <alignment/>
    </xf>
    <xf numFmtId="0" fontId="4" fillId="2" borderId="0" xfId="0" applyFont="1" applyFill="1" applyAlignment="1">
      <alignment horizontal="right" wrapText="1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right"/>
    </xf>
    <xf numFmtId="176" fontId="5" fillId="3" borderId="3" xfId="0" applyNumberFormat="1" applyFont="1" applyFill="1" applyBorder="1" applyAlignment="1">
      <alignment/>
    </xf>
    <xf numFmtId="0" fontId="1" fillId="3" borderId="3" xfId="0" applyFont="1" applyFill="1" applyBorder="1" applyAlignment="1">
      <alignment horizontal="right"/>
    </xf>
    <xf numFmtId="0" fontId="4" fillId="3" borderId="4" xfId="0" applyFont="1" applyFill="1" applyBorder="1" applyAlignment="1">
      <alignment wrapText="1"/>
    </xf>
    <xf numFmtId="176" fontId="1" fillId="3" borderId="5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/>
    </xf>
    <xf numFmtId="176" fontId="5" fillId="3" borderId="0" xfId="0" applyNumberFormat="1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176" fontId="7" fillId="2" borderId="0" xfId="0" applyNumberFormat="1" applyFont="1" applyFill="1" applyAlignment="1">
      <alignment/>
    </xf>
    <xf numFmtId="173" fontId="5" fillId="2" borderId="0" xfId="0" applyNumberFormat="1" applyFont="1" applyFill="1" applyAlignment="1">
      <alignment/>
    </xf>
    <xf numFmtId="176" fontId="8" fillId="2" borderId="0" xfId="0" applyNumberFormat="1" applyFont="1" applyFill="1" applyAlignment="1">
      <alignment/>
    </xf>
    <xf numFmtId="176" fontId="8" fillId="2" borderId="7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76" fontId="7" fillId="3" borderId="8" xfId="0" applyNumberFormat="1" applyFont="1" applyFill="1" applyBorder="1" applyAlignment="1">
      <alignment/>
    </xf>
    <xf numFmtId="173" fontId="7" fillId="3" borderId="8" xfId="0" applyNumberFormat="1" applyFont="1" applyFill="1" applyBorder="1" applyAlignment="1">
      <alignment/>
    </xf>
    <xf numFmtId="173" fontId="7" fillId="3" borderId="9" xfId="0" applyNumberFormat="1" applyFont="1" applyFill="1" applyBorder="1" applyAlignment="1">
      <alignment/>
    </xf>
    <xf numFmtId="176" fontId="5" fillId="3" borderId="3" xfId="0" applyNumberFormat="1" applyFont="1" applyFill="1" applyBorder="1" applyAlignment="1">
      <alignment horizontal="center"/>
    </xf>
    <xf numFmtId="178" fontId="5" fillId="3" borderId="9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9" fontId="7" fillId="2" borderId="0" xfId="21" applyFont="1" applyFill="1" applyAlignment="1">
      <alignment horizontal="center"/>
    </xf>
    <xf numFmtId="0" fontId="5" fillId="3" borderId="0" xfId="0" applyFont="1" applyFill="1" applyBorder="1" applyAlignment="1">
      <alignment horizontal="center"/>
    </xf>
    <xf numFmtId="176" fontId="5" fillId="2" borderId="10" xfId="0" applyNumberFormat="1" applyFont="1" applyFill="1" applyBorder="1" applyAlignment="1">
      <alignment/>
    </xf>
    <xf numFmtId="0" fontId="5" fillId="2" borderId="10" xfId="0" applyFont="1" applyFill="1" applyBorder="1" applyAlignment="1">
      <alignment/>
    </xf>
    <xf numFmtId="173" fontId="5" fillId="2" borderId="10" xfId="0" applyNumberFormat="1" applyFont="1" applyFill="1" applyBorder="1" applyAlignment="1">
      <alignment/>
    </xf>
    <xf numFmtId="176" fontId="7" fillId="2" borderId="10" xfId="0" applyNumberFormat="1" applyFont="1" applyFill="1" applyBorder="1" applyAlignment="1">
      <alignment/>
    </xf>
    <xf numFmtId="176" fontId="8" fillId="2" borderId="10" xfId="0" applyNumberFormat="1" applyFont="1" applyFill="1" applyBorder="1" applyAlignment="1">
      <alignment/>
    </xf>
    <xf numFmtId="9" fontId="7" fillId="2" borderId="10" xfId="2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176" fontId="9" fillId="0" borderId="0" xfId="0" applyNumberFormat="1" applyFont="1" applyAlignment="1">
      <alignment/>
    </xf>
    <xf numFmtId="176" fontId="8" fillId="3" borderId="7" xfId="0" applyNumberFormat="1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3" fillId="3" borderId="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4" borderId="5" xfId="0" applyFill="1" applyBorder="1" applyAlignment="1">
      <alignment/>
    </xf>
    <xf numFmtId="0" fontId="1" fillId="4" borderId="5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1" fillId="4" borderId="6" xfId="0" applyFont="1" applyFill="1" applyBorder="1" applyAlignment="1">
      <alignment horizontal="right" wrapText="1"/>
    </xf>
    <xf numFmtId="179" fontId="1" fillId="4" borderId="0" xfId="0" applyNumberFormat="1" applyFont="1" applyFill="1" applyBorder="1" applyAlignment="1">
      <alignment/>
    </xf>
    <xf numFmtId="179" fontId="1" fillId="4" borderId="8" xfId="0" applyNumberFormat="1" applyFont="1" applyFill="1" applyBorder="1" applyAlignment="1">
      <alignment/>
    </xf>
    <xf numFmtId="176" fontId="1" fillId="4" borderId="0" xfId="0" applyNumberFormat="1" applyFont="1" applyFill="1" applyBorder="1" applyAlignment="1">
      <alignment/>
    </xf>
    <xf numFmtId="176" fontId="1" fillId="4" borderId="8" xfId="0" applyNumberFormat="1" applyFont="1" applyFill="1" applyBorder="1" applyAlignment="1">
      <alignment/>
    </xf>
    <xf numFmtId="0" fontId="1" fillId="4" borderId="2" xfId="0" applyFont="1" applyFill="1" applyBorder="1" applyAlignment="1">
      <alignment horizontal="right" wrapText="1"/>
    </xf>
    <xf numFmtId="179" fontId="1" fillId="4" borderId="3" xfId="0" applyNumberFormat="1" applyFont="1" applyFill="1" applyBorder="1" applyAlignment="1">
      <alignment/>
    </xf>
    <xf numFmtId="179" fontId="1" fillId="4" borderId="9" xfId="0" applyNumberFormat="1" applyFont="1" applyFill="1" applyBorder="1" applyAlignment="1">
      <alignment/>
    </xf>
    <xf numFmtId="0" fontId="10" fillId="4" borderId="4" xfId="0" applyFont="1" applyFill="1" applyBorder="1" applyAlignment="1">
      <alignment/>
    </xf>
    <xf numFmtId="9" fontId="6" fillId="4" borderId="0" xfId="21" applyFont="1" applyFill="1" applyBorder="1" applyAlignment="1">
      <alignment/>
    </xf>
    <xf numFmtId="9" fontId="6" fillId="4" borderId="8" xfId="21" applyFont="1" applyFill="1" applyBorder="1" applyAlignment="1">
      <alignment/>
    </xf>
    <xf numFmtId="0" fontId="4" fillId="0" borderId="0" xfId="0" applyFont="1" applyAlignment="1">
      <alignment horizontal="right" wrapText="1"/>
    </xf>
    <xf numFmtId="0" fontId="1" fillId="2" borderId="10" xfId="0" applyFont="1" applyFill="1" applyBorder="1" applyAlignment="1">
      <alignment horizontal="left" wrapText="1"/>
    </xf>
    <xf numFmtId="176" fontId="0" fillId="0" borderId="0" xfId="0" applyNumberFormat="1" applyAlignment="1">
      <alignment/>
    </xf>
    <xf numFmtId="0" fontId="13" fillId="4" borderId="6" xfId="0" applyFont="1" applyFill="1" applyBorder="1" applyAlignment="1">
      <alignment horizontal="right"/>
    </xf>
    <xf numFmtId="0" fontId="4" fillId="4" borderId="6" xfId="0" applyFont="1" applyFill="1" applyBorder="1" applyAlignment="1">
      <alignment horizontal="right" wrapText="1"/>
    </xf>
    <xf numFmtId="0" fontId="6" fillId="0" borderId="0" xfId="0" applyFont="1" applyAlignment="1">
      <alignment wrapText="1"/>
    </xf>
    <xf numFmtId="0" fontId="1" fillId="2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workbookViewId="0" topLeftCell="A1">
      <selection activeCell="A7" sqref="A7"/>
    </sheetView>
  </sheetViews>
  <sheetFormatPr defaultColWidth="10.28125" defaultRowHeight="12.75"/>
  <cols>
    <col min="1" max="1" width="54.00390625" style="3" customWidth="1"/>
    <col min="2" max="2" width="11.421875" style="1" customWidth="1"/>
    <col min="3" max="3" width="10.8515625" style="1" customWidth="1"/>
    <col min="4" max="4" width="9.00390625" style="1" customWidth="1"/>
    <col min="5" max="5" width="9.421875" style="1" customWidth="1"/>
    <col min="6" max="6" width="9.28125" style="1" customWidth="1"/>
    <col min="7" max="7" width="9.00390625" style="1" customWidth="1"/>
    <col min="8" max="8" width="10.00390625" style="1" customWidth="1"/>
    <col min="9" max="9" width="8.140625" style="1" customWidth="1"/>
    <col min="10" max="10" width="10.28125" style="1" customWidth="1"/>
    <col min="11" max="11" width="8.28125" style="1" customWidth="1"/>
    <col min="12" max="12" width="13.00390625" style="1" customWidth="1"/>
    <col min="13" max="13" width="8.140625" style="1" customWidth="1"/>
    <col min="14" max="16384" width="10.28125" style="1" customWidth="1"/>
  </cols>
  <sheetData>
    <row r="1" ht="10.5">
      <c r="A1" s="7" t="s">
        <v>33</v>
      </c>
    </row>
    <row r="2" spans="1:3" ht="12" thickBot="1">
      <c r="A2" s="78" t="s">
        <v>48</v>
      </c>
      <c r="C2" s="2" t="s">
        <v>20</v>
      </c>
    </row>
    <row r="3" spans="1:3" ht="10.5">
      <c r="A3" s="21" t="s">
        <v>19</v>
      </c>
      <c r="B3" s="22" t="s">
        <v>3</v>
      </c>
      <c r="C3" s="17" t="s">
        <v>4</v>
      </c>
    </row>
    <row r="4" spans="1:3" ht="10.5">
      <c r="A4" s="23" t="s">
        <v>27</v>
      </c>
      <c r="B4" s="24">
        <v>900</v>
      </c>
      <c r="C4" s="38">
        <f>B4/160</f>
        <v>5.625</v>
      </c>
    </row>
    <row r="5" spans="1:3" ht="12" thickBot="1">
      <c r="A5" s="23" t="s">
        <v>14</v>
      </c>
      <c r="B5" s="24">
        <v>560</v>
      </c>
      <c r="C5" s="38">
        <f>B5/160</f>
        <v>3.5</v>
      </c>
    </row>
    <row r="6" spans="1:9" ht="12" thickBot="1">
      <c r="A6" s="25" t="s">
        <v>15</v>
      </c>
      <c r="B6" s="19">
        <v>210</v>
      </c>
      <c r="C6" s="39">
        <f>B6/160</f>
        <v>1.3125</v>
      </c>
      <c r="F6" s="80" t="s">
        <v>22</v>
      </c>
      <c r="G6" s="81"/>
      <c r="H6" s="81"/>
      <c r="I6" s="82"/>
    </row>
    <row r="7" spans="1:9" ht="12" thickBot="1">
      <c r="A7" s="5"/>
      <c r="F7" s="18" t="s">
        <v>26</v>
      </c>
      <c r="G7" s="40">
        <v>2</v>
      </c>
      <c r="H7" s="20" t="s">
        <v>25</v>
      </c>
      <c r="I7" s="41">
        <v>30</v>
      </c>
    </row>
    <row r="8" spans="1:13" ht="25.5" customHeight="1">
      <c r="A8" s="8"/>
      <c r="B8" s="9" t="s">
        <v>9</v>
      </c>
      <c r="C8" s="79" t="s">
        <v>16</v>
      </c>
      <c r="D8" s="79"/>
      <c r="E8" s="79"/>
      <c r="F8" s="10"/>
      <c r="G8" s="10"/>
      <c r="H8" s="11" t="s">
        <v>23</v>
      </c>
      <c r="I8" s="10"/>
      <c r="J8" s="10" t="s">
        <v>18</v>
      </c>
      <c r="K8" s="42" t="s">
        <v>29</v>
      </c>
      <c r="M8" s="2"/>
    </row>
    <row r="9" spans="1:13" ht="10.5">
      <c r="A9" s="12" t="s">
        <v>37</v>
      </c>
      <c r="B9" s="11" t="s">
        <v>0</v>
      </c>
      <c r="C9" s="11" t="s">
        <v>1</v>
      </c>
      <c r="D9" s="11" t="s">
        <v>2</v>
      </c>
      <c r="E9" s="11" t="s">
        <v>0</v>
      </c>
      <c r="F9" s="11" t="s">
        <v>21</v>
      </c>
      <c r="G9" s="11" t="s">
        <v>0</v>
      </c>
      <c r="H9" s="11" t="s">
        <v>24</v>
      </c>
      <c r="I9" s="11" t="s">
        <v>0</v>
      </c>
      <c r="J9" s="11" t="s">
        <v>0</v>
      </c>
      <c r="K9" s="42" t="s">
        <v>30</v>
      </c>
      <c r="M9" s="2"/>
    </row>
    <row r="10" spans="1:13" ht="10.5">
      <c r="A10" s="13" t="s">
        <v>38</v>
      </c>
      <c r="B10" s="15">
        <v>30</v>
      </c>
      <c r="C10" s="14">
        <v>20</v>
      </c>
      <c r="D10" s="33">
        <f>AVERAGE(Wage_rate1,Wage_rate2,Wage_rate3)</f>
        <v>3.4791666666666665</v>
      </c>
      <c r="E10" s="32">
        <f aca="true" t="shared" si="0" ref="E10:E15">D10*C10</f>
        <v>69.58333333333333</v>
      </c>
      <c r="F10" s="14">
        <v>20</v>
      </c>
      <c r="G10" s="32">
        <f aca="true" t="shared" si="1" ref="G10:G15">F10*airfill_rate</f>
        <v>40</v>
      </c>
      <c r="H10" s="14">
        <v>3</v>
      </c>
      <c r="I10" s="32">
        <f aca="true" t="shared" si="2" ref="I10:I15">H10*boat_hire_rate</f>
        <v>90</v>
      </c>
      <c r="J10" s="34">
        <f>B10+E10+G10+I10</f>
        <v>229.58333333333331</v>
      </c>
      <c r="K10" s="43">
        <f>J10/$J$16</f>
        <v>0.013898503842457053</v>
      </c>
      <c r="M10" s="2"/>
    </row>
    <row r="11" spans="1:11" ht="12" customHeight="1">
      <c r="A11" s="13" t="s">
        <v>39</v>
      </c>
      <c r="B11" s="15">
        <v>1650</v>
      </c>
      <c r="C11" s="14">
        <v>378</v>
      </c>
      <c r="D11" s="33">
        <f>0.1*Wage_rate1+0.9*AVERAGE(Wage_rate2,Wage_rate3)</f>
        <v>2.728125</v>
      </c>
      <c r="E11" s="32">
        <f t="shared" si="0"/>
        <v>1031.23125</v>
      </c>
      <c r="F11" s="14">
        <v>54</v>
      </c>
      <c r="G11" s="32">
        <f t="shared" si="1"/>
        <v>108</v>
      </c>
      <c r="H11" s="14">
        <v>6</v>
      </c>
      <c r="I11" s="32">
        <f t="shared" si="2"/>
        <v>180</v>
      </c>
      <c r="J11" s="34">
        <f>B11+E11+G11+I11-2/3*(Capital_equipment_costs_split_over_3_years)</f>
        <v>2049.23125</v>
      </c>
      <c r="K11" s="43">
        <f aca="true" t="shared" si="3" ref="K11:K16">J11/$J$16</f>
        <v>0.12405625438348343</v>
      </c>
    </row>
    <row r="12" spans="1:11" ht="12" customHeight="1">
      <c r="A12" s="13" t="s">
        <v>40</v>
      </c>
      <c r="B12" s="15">
        <v>142</v>
      </c>
      <c r="C12" s="14">
        <v>1232</v>
      </c>
      <c r="D12" s="33">
        <f>AVERAGE(Wage_rate2,Wage_rate3)</f>
        <v>2.40625</v>
      </c>
      <c r="E12" s="32">
        <f t="shared" si="0"/>
        <v>2964.5</v>
      </c>
      <c r="F12" s="14">
        <v>352</v>
      </c>
      <c r="G12" s="32">
        <f t="shared" si="1"/>
        <v>704</v>
      </c>
      <c r="H12" s="14">
        <v>44</v>
      </c>
      <c r="I12" s="32">
        <f t="shared" si="2"/>
        <v>1320</v>
      </c>
      <c r="J12" s="34">
        <f>B12+E12+G12+I12</f>
        <v>5130.5</v>
      </c>
      <c r="K12" s="43">
        <f t="shared" si="3"/>
        <v>0.3105899410398225</v>
      </c>
    </row>
    <row r="13" spans="1:11" ht="10.5">
      <c r="A13" s="13" t="s">
        <v>41</v>
      </c>
      <c r="B13" s="15">
        <v>109</v>
      </c>
      <c r="C13" s="14">
        <v>360</v>
      </c>
      <c r="D13" s="33">
        <f>Wage_rate3</f>
        <v>1.3125</v>
      </c>
      <c r="E13" s="32">
        <f t="shared" si="0"/>
        <v>472.5</v>
      </c>
      <c r="F13" s="14">
        <v>120</v>
      </c>
      <c r="G13" s="32">
        <f t="shared" si="1"/>
        <v>240</v>
      </c>
      <c r="H13" s="14">
        <v>30</v>
      </c>
      <c r="I13" s="32">
        <f t="shared" si="2"/>
        <v>900</v>
      </c>
      <c r="J13" s="34">
        <f>B13+E13+G13+I13</f>
        <v>1721.5</v>
      </c>
      <c r="K13" s="43">
        <f t="shared" si="3"/>
        <v>0.10421607708801373</v>
      </c>
    </row>
    <row r="14" spans="1:13" ht="13.5" customHeight="1">
      <c r="A14" s="74" t="s">
        <v>42</v>
      </c>
      <c r="B14" s="45">
        <v>815</v>
      </c>
      <c r="C14" s="46">
        <v>1400</v>
      </c>
      <c r="D14" s="47">
        <f>AVERAGE(Wage_rate2,Wage_rate3)</f>
        <v>2.40625</v>
      </c>
      <c r="E14" s="48">
        <f t="shared" si="0"/>
        <v>3368.75</v>
      </c>
      <c r="F14" s="46">
        <v>600</v>
      </c>
      <c r="G14" s="48">
        <f t="shared" si="1"/>
        <v>1200</v>
      </c>
      <c r="H14" s="46">
        <v>40</v>
      </c>
      <c r="I14" s="48">
        <f t="shared" si="2"/>
        <v>1200</v>
      </c>
      <c r="J14" s="49">
        <f>B14+E14+G14+I14</f>
        <v>6583.75</v>
      </c>
      <c r="K14" s="50">
        <f t="shared" si="3"/>
        <v>0.39856671363822854</v>
      </c>
      <c r="M14" s="6"/>
    </row>
    <row r="15" spans="1:11" ht="12" thickBot="1">
      <c r="A15" s="13" t="s">
        <v>43</v>
      </c>
      <c r="B15" s="15">
        <v>0</v>
      </c>
      <c r="C15" s="14">
        <v>192</v>
      </c>
      <c r="D15" s="33">
        <f>Wage_rate3</f>
        <v>1.3125</v>
      </c>
      <c r="E15" s="32">
        <f t="shared" si="0"/>
        <v>252</v>
      </c>
      <c r="F15" s="14">
        <v>96</v>
      </c>
      <c r="G15" s="32">
        <f t="shared" si="1"/>
        <v>192</v>
      </c>
      <c r="H15" s="14">
        <v>12</v>
      </c>
      <c r="I15" s="32">
        <f t="shared" si="2"/>
        <v>360</v>
      </c>
      <c r="J15" s="34">
        <f>B15+E15+G15+I15</f>
        <v>804</v>
      </c>
      <c r="K15" s="43">
        <f t="shared" si="3"/>
        <v>0.048672510007994794</v>
      </c>
    </row>
    <row r="16" spans="1:11" ht="12" customHeight="1" thickBot="1">
      <c r="A16" s="16" t="s">
        <v>17</v>
      </c>
      <c r="B16" s="34">
        <f>SUM(B10:B15)-2/3*Capital_equipment_costs_split_over_3_years</f>
        <v>1826</v>
      </c>
      <c r="C16" s="36">
        <f>SUM(C10:C15)</f>
        <v>3582</v>
      </c>
      <c r="D16" s="36"/>
      <c r="E16" s="34">
        <f>SUM(E10:E15)</f>
        <v>8158.564583333333</v>
      </c>
      <c r="F16" s="36">
        <f>SUM(F10:F15)</f>
        <v>1242</v>
      </c>
      <c r="G16" s="34">
        <f>SUM(G10:G15)</f>
        <v>2484</v>
      </c>
      <c r="H16" s="36">
        <f>SUM(H10:H15)</f>
        <v>135</v>
      </c>
      <c r="I16" s="34">
        <f>SUM(I10:I15)</f>
        <v>4050</v>
      </c>
      <c r="J16" s="35">
        <f>B16+E16+G16+I16</f>
        <v>16518.564583333333</v>
      </c>
      <c r="K16" s="43">
        <f t="shared" si="3"/>
        <v>1</v>
      </c>
    </row>
    <row r="17" spans="1:10" ht="10.5">
      <c r="A17" s="73" t="s">
        <v>34</v>
      </c>
      <c r="B17" s="54">
        <v>1380</v>
      </c>
      <c r="J17" s="4"/>
    </row>
    <row r="18" spans="1:7" ht="12" thickBot="1">
      <c r="A18" s="73" t="s">
        <v>35</v>
      </c>
      <c r="B18" s="54">
        <f>I21</f>
        <v>3200</v>
      </c>
      <c r="F18" s="4"/>
      <c r="G18" s="4"/>
    </row>
    <row r="19" spans="1:9" ht="12">
      <c r="A19"/>
      <c r="B19" s="75"/>
      <c r="C19"/>
      <c r="E19" s="56" t="s">
        <v>5</v>
      </c>
      <c r="F19" s="57" t="s">
        <v>13</v>
      </c>
      <c r="G19" s="57" t="s">
        <v>2</v>
      </c>
      <c r="H19" s="57" t="s">
        <v>8</v>
      </c>
      <c r="I19" s="58" t="s">
        <v>10</v>
      </c>
    </row>
    <row r="20" spans="1:9" ht="12.75" thickBot="1">
      <c r="A20"/>
      <c r="B20" s="75"/>
      <c r="C20"/>
      <c r="E20" s="30"/>
      <c r="F20" s="27" t="s">
        <v>6</v>
      </c>
      <c r="G20" s="24">
        <v>20</v>
      </c>
      <c r="H20" s="44" t="s">
        <v>31</v>
      </c>
      <c r="I20" s="37">
        <f>H23*G20*2+H24*G20*4</f>
        <v>16520</v>
      </c>
    </row>
    <row r="21" spans="1:10" ht="12" customHeight="1" thickBot="1">
      <c r="A21"/>
      <c r="B21"/>
      <c r="C21"/>
      <c r="E21" s="31"/>
      <c r="F21" s="28" t="s">
        <v>7</v>
      </c>
      <c r="G21" s="19">
        <v>800</v>
      </c>
      <c r="H21" s="51">
        <v>4</v>
      </c>
      <c r="I21" s="55">
        <f>H21*G21</f>
        <v>3200</v>
      </c>
      <c r="J21" s="1" t="s">
        <v>32</v>
      </c>
    </row>
    <row r="22" spans="1:3" ht="12" customHeight="1" thickBot="1">
      <c r="A22"/>
      <c r="B22"/>
      <c r="C22"/>
    </row>
    <row r="23" spans="1:8" ht="12" customHeight="1">
      <c r="A23"/>
      <c r="B23"/>
      <c r="C23"/>
      <c r="F23" s="29" t="s">
        <v>11</v>
      </c>
      <c r="G23" s="26"/>
      <c r="H23" s="52">
        <v>75</v>
      </c>
    </row>
    <row r="24" spans="1:8" ht="12" customHeight="1" thickBot="1">
      <c r="A24"/>
      <c r="B24"/>
      <c r="C24"/>
      <c r="F24" s="31" t="s">
        <v>12</v>
      </c>
      <c r="G24" s="28"/>
      <c r="H24" s="53">
        <v>169</v>
      </c>
    </row>
    <row r="25" spans="1:3" ht="12" customHeight="1" thickBot="1">
      <c r="A25"/>
      <c r="B25"/>
      <c r="C25"/>
    </row>
    <row r="26" spans="1:7" ht="12" customHeight="1">
      <c r="A26" s="70" t="s">
        <v>28</v>
      </c>
      <c r="B26" s="59"/>
      <c r="C26" s="59"/>
      <c r="D26" s="60"/>
      <c r="E26" s="60"/>
      <c r="F26" s="60"/>
      <c r="G26" s="61"/>
    </row>
    <row r="27" spans="1:7" ht="12" customHeight="1">
      <c r="A27" s="76" t="s">
        <v>44</v>
      </c>
      <c r="B27" s="71">
        <v>1</v>
      </c>
      <c r="C27" s="71">
        <v>0.95</v>
      </c>
      <c r="D27" s="71">
        <v>0.9</v>
      </c>
      <c r="E27" s="71">
        <v>0.85</v>
      </c>
      <c r="F27" s="71">
        <v>0.8</v>
      </c>
      <c r="G27" s="72">
        <v>0.75</v>
      </c>
    </row>
    <row r="28" spans="1:7" ht="12" customHeight="1">
      <c r="A28" s="77" t="s">
        <v>45</v>
      </c>
      <c r="B28" s="63">
        <f>(SUM($J$10:$J$13)+1/3*Diving_equipment_cost_per_year)/10000*1/B27</f>
        <v>1.0197481249999998</v>
      </c>
      <c r="C28" s="63">
        <f>(SUM($J$10:$J$13)+1/3*$B$18)/10000*1/C27</f>
        <v>1.0734190789473683</v>
      </c>
      <c r="D28" s="63">
        <f>(SUM($J$10:$J$13)+1/3*$B$18)/10000*1/D27</f>
        <v>1.1330534722222219</v>
      </c>
      <c r="E28" s="63">
        <f>(SUM($J$10:$J$13)+1/3*$B$18)/10000*1/E27</f>
        <v>1.199703676470588</v>
      </c>
      <c r="F28" s="63">
        <f>(SUM($J$10:$J$13)+1/3*$B$18)/10000*1/F27</f>
        <v>1.2746851562499997</v>
      </c>
      <c r="G28" s="64">
        <f>(SUM($J$10:$J$13)+1/3*$B$18)/10000*1/G27</f>
        <v>1.3596641666666665</v>
      </c>
    </row>
    <row r="29" spans="1:7" ht="12.75" customHeight="1">
      <c r="A29" s="77" t="s">
        <v>46</v>
      </c>
      <c r="B29" s="63">
        <f aca="true" t="shared" si="4" ref="B29:G29">(SUM($J$10:$J$14)+1/3*Diving_equipment_cost_per_year)/10000*1/B27</f>
        <v>1.6781231250000002</v>
      </c>
      <c r="C29" s="63">
        <f t="shared" si="4"/>
        <v>1.7664453947368424</v>
      </c>
      <c r="D29" s="63">
        <f t="shared" si="4"/>
        <v>1.86458125</v>
      </c>
      <c r="E29" s="63">
        <f t="shared" si="4"/>
        <v>1.9742625000000003</v>
      </c>
      <c r="F29" s="63">
        <f t="shared" si="4"/>
        <v>2.09765390625</v>
      </c>
      <c r="G29" s="64">
        <f t="shared" si="4"/>
        <v>2.2374975000000004</v>
      </c>
    </row>
    <row r="30" spans="1:10" ht="12.75" customHeight="1">
      <c r="A30" s="62"/>
      <c r="B30" s="65"/>
      <c r="C30" s="65"/>
      <c r="D30" s="65"/>
      <c r="E30" s="65"/>
      <c r="F30" s="65"/>
      <c r="G30" s="66"/>
      <c r="H30" s="4"/>
      <c r="I30" s="4"/>
      <c r="J30" s="4"/>
    </row>
    <row r="31" spans="1:9" ht="12.75" customHeight="1">
      <c r="A31" s="77" t="s">
        <v>47</v>
      </c>
      <c r="B31" s="71">
        <v>1</v>
      </c>
      <c r="C31" s="71">
        <v>0.95</v>
      </c>
      <c r="D31" s="71">
        <v>0.9</v>
      </c>
      <c r="E31" s="71">
        <v>0.85</v>
      </c>
      <c r="F31" s="71">
        <v>0.8</v>
      </c>
      <c r="G31" s="72">
        <v>0.75</v>
      </c>
      <c r="H31" s="4"/>
      <c r="I31" s="4"/>
    </row>
    <row r="32" spans="1:9" ht="12.75" customHeight="1" thickBot="1">
      <c r="A32" s="67" t="s">
        <v>36</v>
      </c>
      <c r="B32" s="68">
        <f aca="true" t="shared" si="5" ref="B32:G32">($J$16+1/3*Diving_equipment_cost_per_year)/10000*1/B31</f>
        <v>1.758523125</v>
      </c>
      <c r="C32" s="68">
        <f t="shared" si="5"/>
        <v>1.8510769736842105</v>
      </c>
      <c r="D32" s="68">
        <f t="shared" si="5"/>
        <v>1.9539145833333333</v>
      </c>
      <c r="E32" s="68">
        <f t="shared" si="5"/>
        <v>2.0688507352941174</v>
      </c>
      <c r="F32" s="68">
        <f t="shared" si="5"/>
        <v>2.19815390625</v>
      </c>
      <c r="G32" s="69">
        <f t="shared" si="5"/>
        <v>2.3446975</v>
      </c>
      <c r="H32" s="4"/>
      <c r="I32" s="4"/>
    </row>
    <row r="33" ht="10.5">
      <c r="B33" s="4"/>
    </row>
    <row r="34" spans="2:10" ht="10.5">
      <c r="B34" s="4"/>
      <c r="C34" s="4"/>
      <c r="D34" s="4"/>
      <c r="E34" s="4"/>
      <c r="F34" s="4"/>
      <c r="G34" s="4"/>
      <c r="H34" s="4"/>
      <c r="I34" s="4"/>
      <c r="J34" s="4"/>
    </row>
    <row r="35" spans="2:10" ht="10.5">
      <c r="B35" s="4"/>
      <c r="C35" s="4"/>
      <c r="D35" s="4"/>
      <c r="E35" s="4"/>
      <c r="F35" s="4"/>
      <c r="G35" s="4"/>
      <c r="H35" s="4"/>
      <c r="I35" s="4"/>
      <c r="J35" s="4"/>
    </row>
    <row r="36" spans="2:10" ht="10.5">
      <c r="B36" s="4"/>
      <c r="C36" s="4"/>
      <c r="D36" s="4"/>
      <c r="E36" s="4"/>
      <c r="F36" s="4"/>
      <c r="G36" s="4"/>
      <c r="H36" s="4"/>
      <c r="I36" s="4"/>
      <c r="J36" s="4"/>
    </row>
    <row r="37" spans="2:10" ht="10.5">
      <c r="B37" s="4"/>
      <c r="C37" s="4"/>
      <c r="D37" s="4"/>
      <c r="E37" s="4"/>
      <c r="F37" s="4"/>
      <c r="G37" s="4"/>
      <c r="H37" s="4"/>
      <c r="I37" s="4"/>
      <c r="J37" s="4"/>
    </row>
    <row r="38" spans="2:10" ht="10.5">
      <c r="B38" s="4"/>
      <c r="C38" s="4"/>
      <c r="D38" s="4"/>
      <c r="E38" s="4"/>
      <c r="F38" s="4"/>
      <c r="G38" s="4"/>
      <c r="H38" s="4"/>
      <c r="I38" s="4"/>
      <c r="J38" s="4"/>
    </row>
    <row r="39" spans="2:10" ht="10.5">
      <c r="B39" s="4"/>
      <c r="C39" s="4"/>
      <c r="D39" s="4"/>
      <c r="E39" s="4"/>
      <c r="F39" s="4"/>
      <c r="G39" s="4"/>
      <c r="H39" s="4"/>
      <c r="I39" s="4"/>
      <c r="J39" s="4"/>
    </row>
    <row r="40" spans="2:10" ht="10.5">
      <c r="B40" s="4"/>
      <c r="C40" s="4"/>
      <c r="D40" s="4"/>
      <c r="E40" s="4"/>
      <c r="F40" s="4"/>
      <c r="G40" s="4"/>
      <c r="H40" s="4"/>
      <c r="I40" s="4"/>
      <c r="J40" s="4"/>
    </row>
    <row r="41" spans="2:10" ht="10.5">
      <c r="B41" s="4"/>
      <c r="C41" s="4"/>
      <c r="D41" s="4"/>
      <c r="E41" s="4"/>
      <c r="F41" s="4"/>
      <c r="G41" s="4"/>
      <c r="H41" s="4"/>
      <c r="I41" s="4"/>
      <c r="J41" s="4"/>
    </row>
    <row r="42" spans="2:10" ht="10.5">
      <c r="B42" s="4"/>
      <c r="C42" s="4"/>
      <c r="D42" s="4"/>
      <c r="E42" s="4"/>
      <c r="F42" s="4"/>
      <c r="G42" s="4"/>
      <c r="H42" s="4"/>
      <c r="I42" s="4"/>
      <c r="J42" s="4"/>
    </row>
    <row r="43" spans="2:10" ht="10.5">
      <c r="B43" s="4"/>
      <c r="C43" s="4"/>
      <c r="D43" s="4"/>
      <c r="E43" s="4"/>
      <c r="F43" s="4"/>
      <c r="G43" s="4"/>
      <c r="H43" s="4"/>
      <c r="I43" s="4"/>
      <c r="J43" s="4"/>
    </row>
  </sheetData>
  <mergeCells count="2">
    <mergeCell ref="C8:E8"/>
    <mergeCell ref="F6:I6"/>
  </mergeCells>
  <printOptions/>
  <pageMargins left="0.55" right="0.59" top="1" bottom="1" header="0.5" footer="0.5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Newcastle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Asexual rearing to produce 10,000 coral fragments/year using in-situ modular tray nurseries</dc:title>
  <dc:subject>Example 7.1 in: Reef Rehabilitation Manual (ed. A.J. Edwards). Coral Reef Targeted Research &amp; Capacity Building for Management Program: St. Lucia, Australia.</dc:subject>
  <dc:creator>Alasdair James Edwards</dc:creator>
  <cp:keywords/>
  <dc:description>With efficiency gains</dc:description>
  <cp:lastModifiedBy>Melanie King</cp:lastModifiedBy>
  <cp:lastPrinted>2010-03-31T14:02:20Z</cp:lastPrinted>
  <dcterms:created xsi:type="dcterms:W3CDTF">2009-07-02T08:50:41Z</dcterms:created>
  <dcterms:modified xsi:type="dcterms:W3CDTF">2010-06-24T22:16:04Z</dcterms:modified>
  <cp:category/>
  <cp:version/>
  <cp:contentType/>
  <cp:contentStatus/>
</cp:coreProperties>
</file>