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9440" windowHeight="7680" tabRatio="690" activeTab="0"/>
  </bookViews>
  <sheets>
    <sheet name="Larval rearing1 - base scenario" sheetId="1" r:id="rId1"/>
  </sheets>
  <definedNames>
    <definedName name="airfill_rate">'Larval rearing1 - base scenario'!$G$7</definedName>
    <definedName name="boat_hire_rate">'Larval rearing1 - base scenario'!$I$7</definedName>
    <definedName name="Capital_equipment_costs_split_over_3_years">'Larval rearing1 - base scenario'!$B$19</definedName>
    <definedName name="Diving_equipment_cost_per_year">'Larval rearing1 - base scenario'!$B$20</definedName>
    <definedName name="Settled_polyps">'Larval rearing1 - base scenario'!$B$23</definedName>
    <definedName name="Survival_rate_from_1_to_2_years_old">'Larval rearing1 - base scenario'!$A$37:$A$45</definedName>
    <definedName name="Wage_rate1">'Larval rearing1 - base scenario'!$C$4</definedName>
    <definedName name="Wage_rate2">'Larval rearing1 - base scenario'!$C$5</definedName>
    <definedName name="Wage_rate3">'Larval rearing1 - base scenario'!$C$6</definedName>
  </definedNames>
  <calcPr fullCalcOnLoad="1"/>
</workbook>
</file>

<file path=xl/comments1.xml><?xml version="1.0" encoding="utf-8"?>
<comments xmlns="http://schemas.openxmlformats.org/spreadsheetml/2006/main">
  <authors>
    <author>Alasdair James Edwards</author>
  </authors>
  <commentList>
    <comment ref="J12" authorId="0">
      <text>
        <r>
          <rPr>
            <b/>
            <sz val="8"/>
            <rFont val="Tahoma"/>
            <family val="0"/>
          </rPr>
          <t>2/3 of total equipment cost removed as last for at least 3 years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2/3 of 75% of equipment and consumable cost removed as equipment will last at least 3 years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<sst xmlns="http://schemas.openxmlformats.org/spreadsheetml/2006/main" count="60" uniqueCount="55">
  <si>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Item</t>
  </si>
  <si>
    <t>USD</t>
  </si>
  <si>
    <t>Person-hours</t>
  </si>
  <si>
    <t>Rate</t>
  </si>
  <si>
    <t>Monthly</t>
  </si>
  <si>
    <t>Hourly</t>
  </si>
  <si>
    <t>Diving gear</t>
  </si>
  <si>
    <t>Daily hire</t>
  </si>
  <si>
    <t>Purchase</t>
  </si>
  <si>
    <t>Persons</t>
  </si>
  <si>
    <t>Cost per 2-year colony</t>
  </si>
  <si>
    <t>Equipment/ consumables</t>
  </si>
  <si>
    <t>Total</t>
  </si>
  <si>
    <t>Survivors after 1-year cage-culture</t>
  </si>
  <si>
    <t>Skill level 2 (medium) salary - e.g. trained educated local</t>
  </si>
  <si>
    <t>Skill level 3 (lowest) salary - e.g. trained manual labour</t>
  </si>
  <si>
    <t>Time input by personnel</t>
  </si>
  <si>
    <t>Annualised total (nursery construction cost split over 3 years)</t>
  </si>
  <si>
    <t>Total cost/yr</t>
  </si>
  <si>
    <t>Local wage rates</t>
  </si>
  <si>
    <t>Monthly/160</t>
  </si>
  <si>
    <t># air-tanks</t>
  </si>
  <si>
    <t>Local rates (air fills and boat hire)</t>
  </si>
  <si>
    <t>Boat time</t>
  </si>
  <si>
    <t>days</t>
  </si>
  <si>
    <t>boat per day</t>
  </si>
  <si>
    <t>air per tank</t>
  </si>
  <si>
    <t>Survival rate (%) from 1 to 2-years old</t>
  </si>
  <si>
    <r>
      <t>Larval rearing (</t>
    </r>
    <r>
      <rPr>
        <b/>
        <i/>
        <sz val="9"/>
        <rFont val="Arial"/>
        <family val="2"/>
      </rPr>
      <t>In situ</t>
    </r>
    <r>
      <rPr>
        <b/>
        <sz val="9"/>
        <rFont val="Arial"/>
        <family val="2"/>
      </rPr>
      <t xml:space="preserve"> cage-culture to produce 2000-2500 juvenile corals per year in 10 cages)</t>
    </r>
  </si>
  <si>
    <t>Skill level 1 (highest) salary - e.g. scientific adviser/expert</t>
  </si>
  <si>
    <t>What if? Scenarios</t>
  </si>
  <si>
    <t>% total</t>
  </si>
  <si>
    <t>cost/yr</t>
  </si>
  <si>
    <t>Per set</t>
  </si>
  <si>
    <t>Capital equipment - costs split over 3 years</t>
  </si>
  <si>
    <t>Diving equipment - costs split over 3 years</t>
  </si>
  <si>
    <t>Boat days with 2 divers</t>
  </si>
  <si>
    <t>Boat days with 3 divers</t>
  </si>
  <si>
    <t>2-yr cycle</t>
  </si>
  <si>
    <t>2-10</t>
  </si>
  <si>
    <t>Cheaper to buy 2 sets over 3 years</t>
  </si>
  <si>
    <t>Cheaper to hire over 2-yr cycle</t>
  </si>
  <si>
    <t>Cost per 1-year juvenile in cage culture</t>
  </si>
  <si>
    <t>Cost per 1-year juvenile outplanted</t>
  </si>
  <si>
    <t>1.1. Surveys to predict dates of spawning</t>
  </si>
  <si>
    <t>1.2. Collection of portions of 10-15 gravid colonies of 3 species</t>
  </si>
  <si>
    <t>2.1. Construction of 10-cage nursery with 320 tiles (lifetime c. 3 years)</t>
  </si>
  <si>
    <t>2.2. Annual input of 320 tiles, tile holders, cage repair, etc.</t>
  </si>
  <si>
    <t xml:space="preserve">3. Establishing material in cage-culture </t>
  </si>
  <si>
    <t>4. Maintenance of material in cage-culture (1 year)</t>
  </si>
  <si>
    <t>5. Transfer of juveniles to restoration site</t>
  </si>
  <si>
    <t>6. Monitoring and maintenance (4 times in year)</t>
  </si>
  <si>
    <t>% survival at one year (of 168,000 settled polyps)</t>
  </si>
  <si>
    <t>Number of coral polyps settled</t>
  </si>
  <si>
    <t>Boat days - 5 divers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</si>
</sst>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$-1409]#,##0.00"/>
    <numFmt numFmtId="174" formatCode="[$$-2409]#,##0.00"/>
    <numFmt numFmtId="175" formatCode="[$$-1409]#,##0.0"/>
    <numFmt numFmtId="176" formatCode="[$$-1409]#,##0"/>
    <numFmt numFmtId="177" formatCode="0.0%"/>
    <numFmt numFmtId="178" formatCode="[$$-409]#,##0"/>
    <numFmt numFmtId="179" formatCode="0.000%"/>
    <numFmt numFmtId="180" formatCode="0.0000%"/>
  </numFmts>
  <fonts count="1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0"/>
    </font>
    <font>
      <b/>
      <i/>
      <sz val="9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/>
    </xf>
    <xf numFmtId="176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176" fontId="5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176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176" fontId="5" fillId="3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76" fontId="7" fillId="2" borderId="0" xfId="0" applyNumberFormat="1" applyFont="1" applyFill="1" applyAlignment="1">
      <alignment/>
    </xf>
    <xf numFmtId="173" fontId="5" fillId="2" borderId="0" xfId="0" applyNumberFormat="1" applyFont="1" applyFill="1" applyAlignment="1">
      <alignment/>
    </xf>
    <xf numFmtId="176" fontId="8" fillId="2" borderId="0" xfId="0" applyNumberFormat="1" applyFont="1" applyFill="1" applyAlignment="1">
      <alignment/>
    </xf>
    <xf numFmtId="176" fontId="8" fillId="2" borderId="7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76" fontId="7" fillId="3" borderId="8" xfId="0" applyNumberFormat="1" applyFont="1" applyFill="1" applyBorder="1" applyAlignment="1">
      <alignment/>
    </xf>
    <xf numFmtId="173" fontId="7" fillId="3" borderId="9" xfId="0" applyNumberFormat="1" applyFont="1" applyFill="1" applyBorder="1" applyAlignment="1">
      <alignment/>
    </xf>
    <xf numFmtId="173" fontId="7" fillId="3" borderId="8" xfId="0" applyNumberFormat="1" applyFont="1" applyFill="1" applyBorder="1" applyAlignment="1">
      <alignment/>
    </xf>
    <xf numFmtId="176" fontId="5" fillId="3" borderId="3" xfId="0" applyNumberFormat="1" applyFont="1" applyFill="1" applyBorder="1" applyAlignment="1">
      <alignment horizontal="center"/>
    </xf>
    <xf numFmtId="178" fontId="5" fillId="3" borderId="8" xfId="0" applyNumberFormat="1" applyFont="1" applyFill="1" applyBorder="1" applyAlignment="1">
      <alignment horizontal="center"/>
    </xf>
    <xf numFmtId="176" fontId="7" fillId="3" borderId="7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9" fontId="7" fillId="2" borderId="0" xfId="19" applyFont="1" applyFill="1" applyAlignment="1">
      <alignment horizontal="center"/>
    </xf>
    <xf numFmtId="0" fontId="1" fillId="2" borderId="10" xfId="0" applyFont="1" applyFill="1" applyBorder="1" applyAlignment="1">
      <alignment wrapText="1"/>
    </xf>
    <xf numFmtId="176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173" fontId="5" fillId="2" borderId="10" xfId="0" applyNumberFormat="1" applyFont="1" applyFill="1" applyBorder="1" applyAlignment="1">
      <alignment/>
    </xf>
    <xf numFmtId="176" fontId="7" fillId="2" borderId="10" xfId="0" applyNumberFormat="1" applyFont="1" applyFill="1" applyBorder="1" applyAlignment="1">
      <alignment/>
    </xf>
    <xf numFmtId="176" fontId="8" fillId="2" borderId="1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4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2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 horizontal="right"/>
    </xf>
    <xf numFmtId="0" fontId="1" fillId="4" borderId="6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173" fontId="1" fillId="4" borderId="0" xfId="0" applyNumberFormat="1" applyFont="1" applyFill="1" applyBorder="1" applyAlignment="1">
      <alignment/>
    </xf>
    <xf numFmtId="173" fontId="1" fillId="4" borderId="9" xfId="0" applyNumberFormat="1" applyFont="1" applyFill="1" applyBorder="1" applyAlignment="1">
      <alignment/>
    </xf>
    <xf numFmtId="176" fontId="1" fillId="4" borderId="0" xfId="0" applyNumberFormat="1" applyFont="1" applyFill="1" applyBorder="1" applyAlignment="1">
      <alignment/>
    </xf>
    <xf numFmtId="0" fontId="1" fillId="4" borderId="6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173" fontId="1" fillId="4" borderId="3" xfId="0" applyNumberFormat="1" applyFont="1" applyFill="1" applyBorder="1" applyAlignment="1">
      <alignment/>
    </xf>
    <xf numFmtId="173" fontId="1" fillId="4" borderId="8" xfId="0" applyNumberFormat="1" applyFont="1" applyFill="1" applyBorder="1" applyAlignment="1">
      <alignment/>
    </xf>
    <xf numFmtId="9" fontId="7" fillId="2" borderId="10" xfId="19" applyFont="1" applyFill="1" applyBorder="1" applyAlignment="1">
      <alignment horizontal="center"/>
    </xf>
    <xf numFmtId="180" fontId="0" fillId="0" borderId="0" xfId="19" applyNumberFormat="1" applyFont="1" applyAlignment="1">
      <alignment/>
    </xf>
    <xf numFmtId="176" fontId="1" fillId="4" borderId="9" xfId="0" applyNumberFormat="1" applyFont="1" applyFill="1" applyBorder="1" applyAlignment="1">
      <alignment/>
    </xf>
    <xf numFmtId="10" fontId="6" fillId="4" borderId="0" xfId="19" applyNumberFormat="1" applyFont="1" applyFill="1" applyBorder="1" applyAlignment="1">
      <alignment/>
    </xf>
    <xf numFmtId="10" fontId="6" fillId="4" borderId="9" xfId="19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3" fontId="14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B1" sqref="B1"/>
    </sheetView>
  </sheetViews>
  <sheetFormatPr defaultColWidth="10.28125" defaultRowHeight="12.75"/>
  <cols>
    <col min="1" max="1" width="52.421875" style="3" customWidth="1"/>
    <col min="2" max="2" width="11.421875" style="1" customWidth="1"/>
    <col min="3" max="3" width="10.8515625" style="1" customWidth="1"/>
    <col min="4" max="4" width="9.00390625" style="1" customWidth="1"/>
    <col min="5" max="5" width="9.421875" style="1" customWidth="1"/>
    <col min="6" max="6" width="9.28125" style="1" customWidth="1"/>
    <col min="7" max="7" width="9.00390625" style="1" customWidth="1"/>
    <col min="8" max="8" width="10.00390625" style="1" customWidth="1"/>
    <col min="9" max="9" width="8.140625" style="1" customWidth="1"/>
    <col min="10" max="10" width="10.28125" style="1" customWidth="1"/>
    <col min="11" max="12" width="8.421875" style="1" customWidth="1"/>
    <col min="13" max="13" width="8.28125" style="1" customWidth="1"/>
    <col min="14" max="14" width="13.00390625" style="1" customWidth="1"/>
    <col min="15" max="15" width="8.140625" style="1" customWidth="1"/>
    <col min="16" max="16384" width="10.28125" style="1" customWidth="1"/>
  </cols>
  <sheetData>
    <row r="1" ht="12">
      <c r="A1" s="7" t="s">
        <v>28</v>
      </c>
    </row>
    <row r="2" spans="1:3" ht="12.75" thickBot="1">
      <c r="A2" s="5"/>
      <c r="C2" s="2" t="s">
        <v>20</v>
      </c>
    </row>
    <row r="3" spans="1:3" ht="12">
      <c r="A3" s="21" t="s">
        <v>19</v>
      </c>
      <c r="B3" s="22" t="s">
        <v>4</v>
      </c>
      <c r="C3" s="17" t="s">
        <v>5</v>
      </c>
    </row>
    <row r="4" spans="1:3" ht="12">
      <c r="A4" s="23" t="s">
        <v>29</v>
      </c>
      <c r="B4" s="24">
        <v>900</v>
      </c>
      <c r="C4" s="38">
        <f>B4/160</f>
        <v>5.625</v>
      </c>
    </row>
    <row r="5" spans="1:3" ht="12.75" thickBot="1">
      <c r="A5" s="23" t="s">
        <v>14</v>
      </c>
      <c r="B5" s="24">
        <v>560</v>
      </c>
      <c r="C5" s="38">
        <f>B5/160</f>
        <v>3.5</v>
      </c>
    </row>
    <row r="6" spans="1:16" ht="13.5" thickBot="1">
      <c r="A6" s="25" t="s">
        <v>15</v>
      </c>
      <c r="B6" s="19">
        <v>210</v>
      </c>
      <c r="C6" s="39">
        <f>B6/160</f>
        <v>1.3125</v>
      </c>
      <c r="F6" s="86" t="s">
        <v>22</v>
      </c>
      <c r="G6" s="87"/>
      <c r="H6" s="87"/>
      <c r="I6" s="88"/>
      <c r="M6"/>
      <c r="N6"/>
      <c r="O6"/>
      <c r="P6"/>
    </row>
    <row r="7" spans="1:16" ht="13.5" thickBot="1">
      <c r="A7" s="5"/>
      <c r="F7" s="18" t="s">
        <v>26</v>
      </c>
      <c r="G7" s="40">
        <v>2</v>
      </c>
      <c r="H7" s="20" t="s">
        <v>25</v>
      </c>
      <c r="I7" s="41">
        <v>30</v>
      </c>
      <c r="M7"/>
      <c r="N7"/>
      <c r="O7"/>
      <c r="P7"/>
    </row>
    <row r="8" spans="1:16" ht="25.5" customHeight="1">
      <c r="A8" s="8"/>
      <c r="B8" s="9" t="s">
        <v>11</v>
      </c>
      <c r="C8" s="85" t="s">
        <v>16</v>
      </c>
      <c r="D8" s="85"/>
      <c r="E8" s="85"/>
      <c r="F8" s="10"/>
      <c r="G8" s="10"/>
      <c r="H8" s="11" t="s">
        <v>23</v>
      </c>
      <c r="I8" s="10"/>
      <c r="J8" s="10" t="s">
        <v>18</v>
      </c>
      <c r="K8" s="43" t="s">
        <v>31</v>
      </c>
      <c r="M8"/>
      <c r="N8"/>
      <c r="O8"/>
      <c r="P8"/>
    </row>
    <row r="9" spans="1:16" ht="12.75">
      <c r="A9" s="12" t="s">
        <v>0</v>
      </c>
      <c r="B9" s="11" t="s">
        <v>1</v>
      </c>
      <c r="C9" s="11" t="s">
        <v>2</v>
      </c>
      <c r="D9" s="11" t="s">
        <v>3</v>
      </c>
      <c r="E9" s="11" t="s">
        <v>1</v>
      </c>
      <c r="F9" s="11" t="s">
        <v>21</v>
      </c>
      <c r="G9" s="11" t="s">
        <v>1</v>
      </c>
      <c r="H9" s="11" t="s">
        <v>24</v>
      </c>
      <c r="I9" s="11" t="s">
        <v>1</v>
      </c>
      <c r="J9" s="11" t="s">
        <v>1</v>
      </c>
      <c r="K9" s="43" t="s">
        <v>32</v>
      </c>
      <c r="M9"/>
      <c r="N9"/>
      <c r="O9"/>
      <c r="P9"/>
    </row>
    <row r="10" spans="1:16" ht="12.75">
      <c r="A10" s="13" t="s">
        <v>44</v>
      </c>
      <c r="B10" s="15">
        <v>14</v>
      </c>
      <c r="C10" s="14">
        <v>20</v>
      </c>
      <c r="D10" s="33">
        <f>AVERAGE(Wage_rate1,Wage_rate2)</f>
        <v>4.5625</v>
      </c>
      <c r="E10" s="32">
        <f>D10*C10</f>
        <v>91.25</v>
      </c>
      <c r="F10" s="14">
        <v>20</v>
      </c>
      <c r="G10" s="32">
        <f aca="true" t="shared" si="0" ref="G10:G17">F10*airfill_rate</f>
        <v>40</v>
      </c>
      <c r="H10" s="14">
        <v>5</v>
      </c>
      <c r="I10" s="32">
        <f aca="true" t="shared" si="1" ref="I10:I17">H10*boat_hire_rate</f>
        <v>150</v>
      </c>
      <c r="J10" s="34">
        <f>B10+E10+G10+I10</f>
        <v>295.25</v>
      </c>
      <c r="K10" s="44">
        <f>J10/$J$18</f>
        <v>0.03981939102068799</v>
      </c>
      <c r="M10"/>
      <c r="N10"/>
      <c r="O10"/>
      <c r="P10"/>
    </row>
    <row r="11" spans="1:16" ht="12" customHeight="1">
      <c r="A11" s="13" t="s">
        <v>45</v>
      </c>
      <c r="B11" s="15">
        <v>125</v>
      </c>
      <c r="C11" s="14">
        <v>4</v>
      </c>
      <c r="D11" s="33">
        <f>AVERAGE(Wage_rate1,Wage_rate2)</f>
        <v>4.5625</v>
      </c>
      <c r="E11" s="32">
        <f aca="true" t="shared" si="2" ref="E11:E17">D11*C11</f>
        <v>18.25</v>
      </c>
      <c r="F11" s="14">
        <v>4</v>
      </c>
      <c r="G11" s="32">
        <f t="shared" si="0"/>
        <v>8</v>
      </c>
      <c r="H11" s="14">
        <v>0.5</v>
      </c>
      <c r="I11" s="32">
        <f t="shared" si="1"/>
        <v>15</v>
      </c>
      <c r="J11" s="34">
        <f aca="true" t="shared" si="3" ref="J11:J17">B11+E11+G11+I11</f>
        <v>166.25</v>
      </c>
      <c r="K11" s="44">
        <f aca="true" t="shared" si="4" ref="K11:K18">J11/$J$18</f>
        <v>0.022421587661945394</v>
      </c>
      <c r="M11"/>
      <c r="N11"/>
      <c r="O11"/>
      <c r="P11"/>
    </row>
    <row r="12" spans="1:16" ht="12" customHeight="1">
      <c r="A12" s="13" t="s">
        <v>46</v>
      </c>
      <c r="B12" s="15">
        <v>4440</v>
      </c>
      <c r="C12" s="14">
        <v>54</v>
      </c>
      <c r="D12" s="33">
        <f>AVERAGE(Wage_rate2,Wage_rate3)</f>
        <v>2.40625</v>
      </c>
      <c r="E12" s="32">
        <f t="shared" si="2"/>
        <v>129.9375</v>
      </c>
      <c r="F12" s="14">
        <v>18</v>
      </c>
      <c r="G12" s="32">
        <f t="shared" si="0"/>
        <v>36</v>
      </c>
      <c r="H12" s="14">
        <v>3</v>
      </c>
      <c r="I12" s="32">
        <f t="shared" si="1"/>
        <v>90</v>
      </c>
      <c r="J12" s="34">
        <f>B12+E12+G12+I12-2/3*B12</f>
        <v>1735.9375</v>
      </c>
      <c r="K12" s="44">
        <f t="shared" si="4"/>
        <v>0.23412014936486217</v>
      </c>
      <c r="M12"/>
      <c r="N12"/>
      <c r="O12"/>
      <c r="P12"/>
    </row>
    <row r="13" spans="1:16" ht="12.75">
      <c r="A13" s="13" t="s">
        <v>47</v>
      </c>
      <c r="B13" s="15">
        <v>1120</v>
      </c>
      <c r="C13" s="14">
        <v>0</v>
      </c>
      <c r="D13" s="33"/>
      <c r="E13" s="32">
        <f t="shared" si="2"/>
        <v>0</v>
      </c>
      <c r="F13" s="14">
        <v>0</v>
      </c>
      <c r="G13" s="32">
        <f t="shared" si="0"/>
        <v>0</v>
      </c>
      <c r="H13" s="14">
        <v>0</v>
      </c>
      <c r="I13" s="32">
        <f t="shared" si="1"/>
        <v>0</v>
      </c>
      <c r="J13" s="34">
        <f t="shared" si="3"/>
        <v>1120</v>
      </c>
      <c r="K13" s="44">
        <f t="shared" si="4"/>
        <v>0.15105069582784267</v>
      </c>
      <c r="M13"/>
      <c r="N13"/>
      <c r="O13"/>
      <c r="P13"/>
    </row>
    <row r="14" spans="1:16" ht="13.5" customHeight="1">
      <c r="A14" s="13" t="s">
        <v>48</v>
      </c>
      <c r="B14" s="15">
        <v>3300</v>
      </c>
      <c r="C14" s="14">
        <v>134</v>
      </c>
      <c r="D14" s="33">
        <f>AVERAGE(Wage_rate1,Wage_rate2)</f>
        <v>4.5625</v>
      </c>
      <c r="E14" s="32">
        <f t="shared" si="2"/>
        <v>611.375</v>
      </c>
      <c r="F14" s="14">
        <v>0</v>
      </c>
      <c r="G14" s="32">
        <f t="shared" si="0"/>
        <v>0</v>
      </c>
      <c r="H14" s="14">
        <v>0</v>
      </c>
      <c r="I14" s="32">
        <f t="shared" si="1"/>
        <v>0</v>
      </c>
      <c r="J14" s="34">
        <f>B14+E14+G14+I14-2/3*(0.75*B14)</f>
        <v>2261.375</v>
      </c>
      <c r="K14" s="44">
        <f t="shared" si="4"/>
        <v>0.30498416721222116</v>
      </c>
      <c r="M14"/>
      <c r="N14"/>
      <c r="O14"/>
      <c r="P14"/>
    </row>
    <row r="15" spans="1:16" ht="12.75">
      <c r="A15" s="13" t="s">
        <v>49</v>
      </c>
      <c r="B15" s="15">
        <v>140</v>
      </c>
      <c r="C15" s="14">
        <v>162</v>
      </c>
      <c r="D15" s="33">
        <f>Wage_rate3</f>
        <v>1.3125</v>
      </c>
      <c r="E15" s="32">
        <f t="shared" si="2"/>
        <v>212.625</v>
      </c>
      <c r="F15" s="14">
        <v>162</v>
      </c>
      <c r="G15" s="32">
        <f t="shared" si="0"/>
        <v>324</v>
      </c>
      <c r="H15" s="14">
        <v>13.5</v>
      </c>
      <c r="I15" s="32">
        <f t="shared" si="1"/>
        <v>405</v>
      </c>
      <c r="J15" s="34">
        <f t="shared" si="3"/>
        <v>1081.625</v>
      </c>
      <c r="K15" s="44">
        <f t="shared" si="4"/>
        <v>0.1458751864953485</v>
      </c>
      <c r="M15"/>
      <c r="N15"/>
      <c r="O15"/>
      <c r="P15"/>
    </row>
    <row r="16" spans="1:16" ht="12.75">
      <c r="A16" s="45" t="s">
        <v>50</v>
      </c>
      <c r="B16" s="46">
        <v>420</v>
      </c>
      <c r="C16" s="47">
        <v>34</v>
      </c>
      <c r="D16" s="48">
        <f>AVERAGE(Wage_rate1,Wage_rate2,Wage_rate3)</f>
        <v>3.4791666666666665</v>
      </c>
      <c r="E16" s="49">
        <f t="shared" si="2"/>
        <v>118.29166666666666</v>
      </c>
      <c r="F16" s="47">
        <v>24</v>
      </c>
      <c r="G16" s="49">
        <f t="shared" si="0"/>
        <v>48</v>
      </c>
      <c r="H16" s="47">
        <v>1.5</v>
      </c>
      <c r="I16" s="49">
        <f t="shared" si="1"/>
        <v>45</v>
      </c>
      <c r="J16" s="50">
        <f t="shared" si="3"/>
        <v>631.2916666666666</v>
      </c>
      <c r="K16" s="78">
        <f t="shared" si="4"/>
        <v>0.08514021921457009</v>
      </c>
      <c r="L16" s="6"/>
      <c r="M16"/>
      <c r="N16"/>
      <c r="O16"/>
      <c r="P16"/>
    </row>
    <row r="17" spans="1:16" ht="13.5" thickBot="1">
      <c r="A17" s="13" t="s">
        <v>51</v>
      </c>
      <c r="B17" s="15">
        <v>10</v>
      </c>
      <c r="C17" s="14">
        <v>16</v>
      </c>
      <c r="D17" s="33">
        <f>Wage_rate3</f>
        <v>1.3125</v>
      </c>
      <c r="E17" s="32">
        <f t="shared" si="2"/>
        <v>21</v>
      </c>
      <c r="F17" s="14">
        <v>16</v>
      </c>
      <c r="G17" s="32">
        <f t="shared" si="0"/>
        <v>32</v>
      </c>
      <c r="H17" s="14">
        <v>2</v>
      </c>
      <c r="I17" s="32">
        <f t="shared" si="1"/>
        <v>60</v>
      </c>
      <c r="J17" s="34">
        <f t="shared" si="3"/>
        <v>123</v>
      </c>
      <c r="K17" s="44">
        <f t="shared" si="4"/>
        <v>0.016588603202522006</v>
      </c>
      <c r="M17"/>
      <c r="N17"/>
      <c r="O17"/>
      <c r="P17"/>
    </row>
    <row r="18" spans="1:16" ht="12" customHeight="1" thickBot="1">
      <c r="A18" s="16" t="s">
        <v>17</v>
      </c>
      <c r="B18" s="34">
        <f>SUM(B10:B17)-2/3*Capital_equipment_costs_split_over_3_years</f>
        <v>4959</v>
      </c>
      <c r="C18" s="36">
        <f>SUM(C10:C17)</f>
        <v>424</v>
      </c>
      <c r="D18" s="36"/>
      <c r="E18" s="34">
        <f>SUM(E10:E17)</f>
        <v>1202.7291666666667</v>
      </c>
      <c r="F18" s="36">
        <f>SUM(F10:F17)</f>
        <v>244</v>
      </c>
      <c r="G18" s="34">
        <f>SUM(G10:G17)</f>
        <v>488</v>
      </c>
      <c r="H18" s="36">
        <f>SUM(H10:H17)</f>
        <v>25.5</v>
      </c>
      <c r="I18" s="34">
        <f>SUM(I10:I17)</f>
        <v>765</v>
      </c>
      <c r="J18" s="35">
        <f>B18+E18+G18+I18</f>
        <v>7414.729166666667</v>
      </c>
      <c r="K18" s="44">
        <f t="shared" si="4"/>
        <v>1</v>
      </c>
      <c r="M18"/>
      <c r="N18"/>
      <c r="O18"/>
      <c r="P18"/>
    </row>
    <row r="19" spans="1:16" ht="12">
      <c r="A19" s="58" t="s">
        <v>34</v>
      </c>
      <c r="B19" s="60">
        <f>4440+0.75*B14</f>
        <v>6915</v>
      </c>
      <c r="M19"/>
      <c r="N19"/>
      <c r="O19"/>
      <c r="P19"/>
    </row>
    <row r="20" spans="1:7" ht="12" thickBot="1">
      <c r="A20" s="58" t="s">
        <v>35</v>
      </c>
      <c r="B20" s="59">
        <f>I23</f>
        <v>1600</v>
      </c>
      <c r="F20" s="4"/>
      <c r="G20" s="4"/>
    </row>
    <row r="21" spans="1:9" ht="12">
      <c r="A21"/>
      <c r="B21"/>
      <c r="C21"/>
      <c r="E21" s="61" t="s">
        <v>6</v>
      </c>
      <c r="F21" s="62" t="s">
        <v>33</v>
      </c>
      <c r="G21" s="62" t="s">
        <v>3</v>
      </c>
      <c r="H21" s="62" t="s">
        <v>9</v>
      </c>
      <c r="I21" s="63" t="s">
        <v>12</v>
      </c>
    </row>
    <row r="22" spans="1:10" ht="12.75" thickBot="1">
      <c r="A22"/>
      <c r="B22"/>
      <c r="C22"/>
      <c r="E22" s="30" t="s">
        <v>38</v>
      </c>
      <c r="F22" s="27" t="s">
        <v>7</v>
      </c>
      <c r="G22" s="24">
        <v>20</v>
      </c>
      <c r="H22" s="51" t="s">
        <v>39</v>
      </c>
      <c r="I22" s="37">
        <f>H25*G22*2+H26*G22*3+H27*G22*10</f>
        <v>1240</v>
      </c>
      <c r="J22" s="64" t="s">
        <v>41</v>
      </c>
    </row>
    <row r="23" spans="1:10" ht="12" customHeight="1" thickBot="1">
      <c r="A23" s="83" t="s">
        <v>53</v>
      </c>
      <c r="B23" s="84">
        <v>168000</v>
      </c>
      <c r="C23"/>
      <c r="E23" s="31"/>
      <c r="F23" s="28" t="s">
        <v>8</v>
      </c>
      <c r="G23" s="19">
        <v>800</v>
      </c>
      <c r="H23" s="52">
        <v>2</v>
      </c>
      <c r="I23" s="42">
        <f>H23*G23</f>
        <v>1600</v>
      </c>
      <c r="J23" s="64" t="s">
        <v>40</v>
      </c>
    </row>
    <row r="24" spans="1:3" ht="12" customHeight="1" thickBot="1">
      <c r="A24" s="79"/>
      <c r="B24"/>
      <c r="C24"/>
    </row>
    <row r="25" spans="1:8" ht="12" customHeight="1">
      <c r="A25"/>
      <c r="B25"/>
      <c r="C25"/>
      <c r="F25" s="29" t="s">
        <v>36</v>
      </c>
      <c r="G25" s="26"/>
      <c r="H25" s="53">
        <v>21.5</v>
      </c>
    </row>
    <row r="26" spans="1:8" ht="12" customHeight="1">
      <c r="A26"/>
      <c r="B26"/>
      <c r="C26"/>
      <c r="F26" s="30" t="s">
        <v>37</v>
      </c>
      <c r="G26" s="27"/>
      <c r="H26" s="54">
        <v>3</v>
      </c>
    </row>
    <row r="27" spans="1:8" ht="12" customHeight="1" thickBot="1">
      <c r="A27"/>
      <c r="B27"/>
      <c r="C27"/>
      <c r="F27" s="31" t="s">
        <v>54</v>
      </c>
      <c r="G27" s="28"/>
      <c r="H27" s="55">
        <v>1</v>
      </c>
    </row>
    <row r="28" spans="1:3" ht="12" customHeight="1" thickBot="1">
      <c r="A28"/>
      <c r="B28"/>
      <c r="C28"/>
    </row>
    <row r="29" spans="1:6" ht="12" customHeight="1">
      <c r="A29" s="65" t="s">
        <v>30</v>
      </c>
      <c r="B29" s="66"/>
      <c r="C29" s="66"/>
      <c r="D29" s="56"/>
      <c r="E29" s="56"/>
      <c r="F29" s="57"/>
    </row>
    <row r="30" spans="1:6" ht="12" customHeight="1">
      <c r="A30" s="67" t="s">
        <v>52</v>
      </c>
      <c r="B30" s="81">
        <v>0.005</v>
      </c>
      <c r="C30" s="81">
        <v>0.0075</v>
      </c>
      <c r="D30" s="81">
        <v>0.01</v>
      </c>
      <c r="E30" s="81">
        <v>0.0125</v>
      </c>
      <c r="F30" s="82">
        <v>0.015</v>
      </c>
    </row>
    <row r="31" spans="1:6" ht="10.5">
      <c r="A31" s="68" t="s">
        <v>13</v>
      </c>
      <c r="B31" s="69">
        <f>B30*Settled_polyps</f>
        <v>840</v>
      </c>
      <c r="C31" s="69">
        <f>C30*Settled_polyps</f>
        <v>1260</v>
      </c>
      <c r="D31" s="69">
        <f>D30*Settled_polyps</f>
        <v>1680</v>
      </c>
      <c r="E31" s="69">
        <f>E30*Settled_polyps</f>
        <v>2100</v>
      </c>
      <c r="F31" s="70">
        <f>F30*Settled_polyps</f>
        <v>2520</v>
      </c>
    </row>
    <row r="32" spans="1:6" ht="10.5">
      <c r="A32" s="68" t="s">
        <v>42</v>
      </c>
      <c r="B32" s="71">
        <f>(SUM($J$10:$J$15)+1/3*Diving_equipment_cost_per_year)/B31</f>
        <v>8.564012896825396</v>
      </c>
      <c r="C32" s="71">
        <f>(SUM($J$10:$J$15)+1/3*Diving_equipment_cost_per_year)/C31</f>
        <v>5.709341931216931</v>
      </c>
      <c r="D32" s="71">
        <f>(SUM($J$10:$J$15)+1/3*Diving_equipment_cost_per_year)/D31</f>
        <v>4.282006448412698</v>
      </c>
      <c r="E32" s="71">
        <f>(SUM($J$10:$J$15)+1/3*Diving_equipment_cost_per_year)/E31</f>
        <v>3.425605158730159</v>
      </c>
      <c r="F32" s="72">
        <f>(SUM($J$10:$J$15)+1/3*Diving_equipment_cost_per_year)/F31</f>
        <v>2.8546709656084657</v>
      </c>
    </row>
    <row r="33" spans="1:6" ht="10.5">
      <c r="A33" s="68" t="s">
        <v>43</v>
      </c>
      <c r="B33" s="71">
        <f>(SUM($J$10:$J$16)+1/3*Diving_equipment_cost_per_year)/B31</f>
        <v>9.315550595238095</v>
      </c>
      <c r="C33" s="71">
        <f>(SUM($J$10:$J$16)+1/3*Diving_equipment_cost_per_year)/C31</f>
        <v>6.210367063492064</v>
      </c>
      <c r="D33" s="71">
        <f>(SUM($J$10:$J$16)+1/3*Diving_equipment_cost_per_year)/D31</f>
        <v>4.657775297619048</v>
      </c>
      <c r="E33" s="71">
        <f>(SUM($J$10:$J$16)+1/3*Diving_equipment_cost_per_year)/E31</f>
        <v>3.7262202380952383</v>
      </c>
      <c r="F33" s="72">
        <f>(SUM($J$10:$J$16)+1/3*Diving_equipment_cost_per_year)/F31</f>
        <v>3.105183531746032</v>
      </c>
    </row>
    <row r="34" spans="1:6" ht="10.5">
      <c r="A34" s="68"/>
      <c r="B34" s="73"/>
      <c r="C34" s="73"/>
      <c r="D34" s="73"/>
      <c r="E34" s="73"/>
      <c r="F34" s="80"/>
    </row>
    <row r="35" spans="1:6" ht="10.5">
      <c r="A35" s="68" t="s">
        <v>10</v>
      </c>
      <c r="B35" s="73"/>
      <c r="C35" s="73"/>
      <c r="D35" s="73"/>
      <c r="E35" s="73"/>
      <c r="F35" s="80"/>
    </row>
    <row r="36" spans="1:6" ht="10.5">
      <c r="A36" s="68" t="s">
        <v>27</v>
      </c>
      <c r="B36" s="73"/>
      <c r="C36" s="69"/>
      <c r="D36" s="69"/>
      <c r="E36" s="69"/>
      <c r="F36" s="70"/>
    </row>
    <row r="37" spans="1:6" ht="10.5">
      <c r="A37" s="74">
        <v>70</v>
      </c>
      <c r="B37" s="71">
        <f aca="true" t="shared" si="5" ref="B37:F45">($J$18+1/3*Diving_equipment_cost_per_year)/B$31*(100/Survival_rate_from_1_to_2_years_old)</f>
        <v>13.517113095238097</v>
      </c>
      <c r="C37" s="71">
        <f t="shared" si="5"/>
        <v>9.011408730158731</v>
      </c>
      <c r="D37" s="71">
        <f t="shared" si="5"/>
        <v>6.758556547619048</v>
      </c>
      <c r="E37" s="71">
        <f t="shared" si="5"/>
        <v>5.406845238095238</v>
      </c>
      <c r="F37" s="72">
        <f t="shared" si="5"/>
        <v>4.505704365079366</v>
      </c>
    </row>
    <row r="38" spans="1:6" ht="10.5">
      <c r="A38" s="74">
        <v>60</v>
      </c>
      <c r="B38" s="71">
        <f t="shared" si="5"/>
        <v>15.76996527777778</v>
      </c>
      <c r="C38" s="71">
        <f t="shared" si="5"/>
        <v>10.513310185185185</v>
      </c>
      <c r="D38" s="71">
        <f t="shared" si="5"/>
        <v>7.88498263888889</v>
      </c>
      <c r="E38" s="71">
        <f t="shared" si="5"/>
        <v>6.307986111111111</v>
      </c>
      <c r="F38" s="72">
        <f t="shared" si="5"/>
        <v>5.256655092592593</v>
      </c>
    </row>
    <row r="39" spans="1:6" ht="10.5">
      <c r="A39" s="74">
        <v>50</v>
      </c>
      <c r="B39" s="71">
        <f t="shared" si="5"/>
        <v>18.923958333333335</v>
      </c>
      <c r="C39" s="71">
        <f t="shared" si="5"/>
        <v>12.615972222222222</v>
      </c>
      <c r="D39" s="71">
        <f t="shared" si="5"/>
        <v>9.461979166666667</v>
      </c>
      <c r="E39" s="71">
        <f t="shared" si="5"/>
        <v>7.569583333333333</v>
      </c>
      <c r="F39" s="72">
        <f t="shared" si="5"/>
        <v>6.307986111111111</v>
      </c>
    </row>
    <row r="40" spans="1:6" ht="10.5">
      <c r="A40" s="74">
        <v>40</v>
      </c>
      <c r="B40" s="71">
        <f t="shared" si="5"/>
        <v>23.654947916666668</v>
      </c>
      <c r="C40" s="71">
        <f t="shared" si="5"/>
        <v>15.769965277777779</v>
      </c>
      <c r="D40" s="71">
        <f t="shared" si="5"/>
        <v>11.827473958333334</v>
      </c>
      <c r="E40" s="71">
        <f t="shared" si="5"/>
        <v>9.461979166666666</v>
      </c>
      <c r="F40" s="72">
        <f t="shared" si="5"/>
        <v>7.884982638888889</v>
      </c>
    </row>
    <row r="41" spans="1:6" ht="10.5">
      <c r="A41" s="74">
        <v>30</v>
      </c>
      <c r="B41" s="71">
        <f t="shared" si="5"/>
        <v>31.53993055555556</v>
      </c>
      <c r="C41" s="71">
        <f t="shared" si="5"/>
        <v>21.02662037037037</v>
      </c>
      <c r="D41" s="71">
        <f t="shared" si="5"/>
        <v>15.76996527777778</v>
      </c>
      <c r="E41" s="71">
        <f t="shared" si="5"/>
        <v>12.615972222222222</v>
      </c>
      <c r="F41" s="72">
        <f t="shared" si="5"/>
        <v>10.513310185185185</v>
      </c>
    </row>
    <row r="42" spans="1:6" ht="10.5">
      <c r="A42" s="74">
        <v>20</v>
      </c>
      <c r="B42" s="71">
        <f t="shared" si="5"/>
        <v>47.309895833333336</v>
      </c>
      <c r="C42" s="71">
        <f t="shared" si="5"/>
        <v>31.539930555555557</v>
      </c>
      <c r="D42" s="71">
        <f t="shared" si="5"/>
        <v>23.654947916666668</v>
      </c>
      <c r="E42" s="71">
        <f t="shared" si="5"/>
        <v>18.92395833333333</v>
      </c>
      <c r="F42" s="72">
        <f t="shared" si="5"/>
        <v>15.769965277777779</v>
      </c>
    </row>
    <row r="43" spans="1:6" ht="10.5">
      <c r="A43" s="74">
        <v>15</v>
      </c>
      <c r="B43" s="71">
        <f t="shared" si="5"/>
        <v>63.07986111111112</v>
      </c>
      <c r="C43" s="71">
        <f t="shared" si="5"/>
        <v>42.05324074074074</v>
      </c>
      <c r="D43" s="71">
        <f t="shared" si="5"/>
        <v>31.53993055555556</v>
      </c>
      <c r="E43" s="71">
        <f t="shared" si="5"/>
        <v>25.231944444444444</v>
      </c>
      <c r="F43" s="72">
        <f t="shared" si="5"/>
        <v>21.02662037037037</v>
      </c>
    </row>
    <row r="44" spans="1:6" ht="10.5">
      <c r="A44" s="74">
        <v>10</v>
      </c>
      <c r="B44" s="71">
        <f t="shared" si="5"/>
        <v>94.61979166666667</v>
      </c>
      <c r="C44" s="71">
        <f t="shared" si="5"/>
        <v>63.079861111111114</v>
      </c>
      <c r="D44" s="71">
        <f t="shared" si="5"/>
        <v>47.309895833333336</v>
      </c>
      <c r="E44" s="71">
        <f t="shared" si="5"/>
        <v>37.84791666666666</v>
      </c>
      <c r="F44" s="72">
        <f t="shared" si="5"/>
        <v>31.539930555555557</v>
      </c>
    </row>
    <row r="45" spans="1:6" ht="12" thickBot="1">
      <c r="A45" s="75">
        <v>5</v>
      </c>
      <c r="B45" s="76">
        <f t="shared" si="5"/>
        <v>189.23958333333334</v>
      </c>
      <c r="C45" s="76">
        <f t="shared" si="5"/>
        <v>126.15972222222223</v>
      </c>
      <c r="D45" s="76">
        <f t="shared" si="5"/>
        <v>94.61979166666667</v>
      </c>
      <c r="E45" s="76">
        <f t="shared" si="5"/>
        <v>75.69583333333333</v>
      </c>
      <c r="F45" s="77">
        <f t="shared" si="5"/>
        <v>63.079861111111114</v>
      </c>
    </row>
  </sheetData>
  <mergeCells count="2">
    <mergeCell ref="C8:E8"/>
    <mergeCell ref="F6:I6"/>
  </mergeCells>
  <printOptions/>
  <pageMargins left="0.1968503937007874" right="0.1968503937007874" top="0.23" bottom="0.984251968503937" header="0.22" footer="0.5118110236220472"/>
  <pageSetup horizontalDpi="600" verticalDpi="6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Newcastle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Larval rearing (In situ cage-culture to produce 2000-2500 juvenile corals per year in 10 cages)</dc:title>
  <dc:subject>Example 7.2 in: Reef Rehabilitation Manual (ed. A.J. Edwards). Coral Reef Targeted Research &amp; Capacity Building for Management Program: St. Lucia, Australia.</dc:subject>
  <dc:creator>Alasdair James Edwards</dc:creator>
  <cp:keywords/>
  <dc:description/>
  <cp:lastModifiedBy>Melanie King</cp:lastModifiedBy>
  <cp:lastPrinted>2010-04-08T10:42:29Z</cp:lastPrinted>
  <dcterms:created xsi:type="dcterms:W3CDTF">2009-07-02T08:50:41Z</dcterms:created>
  <dcterms:modified xsi:type="dcterms:W3CDTF">2010-06-24T22:16:14Z</dcterms:modified>
  <cp:category/>
  <cp:version/>
  <cp:contentType/>
  <cp:contentStatus/>
</cp:coreProperties>
</file>